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pivotTables/pivotTable1.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pivotTables/pivotTable2.xml" ContentType="application/vnd.openxmlformats-officedocument.spreadsheetml.pivotTable+xml"/>
  <Override PartName="/xl/drawings/drawing7.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alerioc\Desktop\1-Web Postings\AODA\remediated documents\"/>
    </mc:Choice>
  </mc:AlternateContent>
  <bookViews>
    <workbookView xWindow="0" yWindow="0" windowWidth="23040" windowHeight="9195" firstSheet="6" activeTab="6"/>
  </bookViews>
  <sheets>
    <sheet name="GAM Components" sheetId="4" state="hidden" r:id="rId1"/>
    <sheet name="OPA Components of GAM " sheetId="1" state="hidden" r:id="rId2"/>
    <sheet name="Time Series GAM Components" sheetId="2" state="hidden" r:id="rId3"/>
    <sheet name="HOEPvsGAM Example" sheetId="5" state="hidden" r:id="rId4"/>
    <sheet name="GAM Components Pie charts" sheetId="6" state="hidden" r:id="rId5"/>
    <sheet name="OPA Components Pie chart" sheetId="7" state="hidden" r:id="rId6"/>
    <sheet name="Components Breakdown" sheetId="3" r:id="rId7"/>
  </sheets>
  <definedNames>
    <definedName name="EV__LASTREFTIME__" hidden="1">41368.6125231481</definedName>
  </definedNames>
  <calcPr calcId="162913"/>
  <pivotCaches>
    <pivotCache cacheId="0" r:id="rId8"/>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16" i="3" l="1"/>
  <c r="AI16" i="3"/>
  <c r="AF16" i="3"/>
  <c r="AG16" i="3"/>
  <c r="AH16" i="3"/>
  <c r="AE16" i="3"/>
  <c r="AB16" i="3"/>
  <c r="AA16" i="3"/>
  <c r="Z16" i="3"/>
  <c r="Y16" i="3"/>
  <c r="X16" i="3"/>
  <c r="W16" i="3"/>
  <c r="V16" i="3"/>
  <c r="U16" i="3"/>
  <c r="T16" i="3"/>
  <c r="S16" i="3"/>
  <c r="R16" i="3"/>
  <c r="Q16" i="3"/>
  <c r="P16" i="3"/>
  <c r="O16" i="3"/>
  <c r="N16" i="3"/>
  <c r="M16" i="3"/>
  <c r="L16" i="3"/>
  <c r="K16" i="3"/>
  <c r="J16" i="3"/>
  <c r="I16" i="3"/>
  <c r="H16" i="3"/>
  <c r="G16" i="3"/>
  <c r="F16" i="3"/>
  <c r="E16" i="3"/>
  <c r="D16" i="3"/>
  <c r="C16" i="3"/>
  <c r="B16" i="3"/>
  <c r="E33" i="6"/>
  <c r="D33" i="6"/>
  <c r="C33" i="6"/>
  <c r="B33" i="6"/>
  <c r="E32" i="6"/>
  <c r="D32" i="6"/>
  <c r="C32" i="6"/>
  <c r="B32" i="6"/>
  <c r="E31" i="6"/>
  <c r="D31" i="6"/>
  <c r="L27" i="7"/>
  <c r="M27" i="7"/>
  <c r="K27" i="7"/>
  <c r="J27" i="7"/>
  <c r="I27" i="7"/>
  <c r="H27" i="7"/>
  <c r="G27" i="7"/>
  <c r="F27" i="7"/>
  <c r="E27" i="7"/>
  <c r="D27" i="7"/>
  <c r="C27" i="7"/>
  <c r="B27" i="7"/>
  <c r="A27" i="7"/>
  <c r="L26" i="7"/>
  <c r="M26" i="7"/>
  <c r="K26" i="7"/>
  <c r="J26" i="7"/>
  <c r="I26" i="7"/>
  <c r="H26" i="7"/>
  <c r="G26" i="7"/>
  <c r="F26" i="7"/>
  <c r="E26" i="7"/>
  <c r="D26" i="7"/>
  <c r="C26" i="7"/>
  <c r="B26" i="7"/>
  <c r="L25" i="7"/>
  <c r="M25" i="7"/>
  <c r="K25" i="7"/>
  <c r="J25" i="7"/>
  <c r="I25" i="7"/>
  <c r="H25" i="7"/>
  <c r="G25" i="7"/>
  <c r="F25" i="7"/>
  <c r="E25" i="7"/>
  <c r="D25" i="7"/>
  <c r="C25" i="7"/>
  <c r="B25" i="7"/>
  <c r="A25" i="7"/>
  <c r="L24" i="7"/>
  <c r="M24" i="7"/>
  <c r="K24" i="7"/>
  <c r="J24" i="7"/>
  <c r="I24" i="7"/>
  <c r="H24" i="7"/>
  <c r="G24" i="7"/>
  <c r="F24" i="7"/>
  <c r="E24" i="7"/>
  <c r="D24" i="7"/>
  <c r="C24" i="7"/>
  <c r="B24" i="7"/>
  <c r="A24" i="7"/>
  <c r="L23" i="7"/>
  <c r="M23" i="7"/>
  <c r="K23" i="7"/>
  <c r="J23" i="7"/>
  <c r="I23" i="7"/>
  <c r="H23" i="7"/>
  <c r="G23" i="7"/>
  <c r="F23" i="7"/>
  <c r="E23" i="7"/>
  <c r="D23" i="7"/>
  <c r="C23" i="7"/>
  <c r="B23" i="7"/>
  <c r="A23" i="7"/>
  <c r="L22" i="7"/>
  <c r="M22" i="7"/>
  <c r="K22" i="7"/>
  <c r="J22" i="7"/>
  <c r="I22" i="7"/>
  <c r="H22" i="7"/>
  <c r="G22" i="7"/>
  <c r="F22" i="7"/>
  <c r="E22" i="7"/>
  <c r="D22" i="7"/>
  <c r="C22" i="7"/>
  <c r="B22" i="7"/>
  <c r="A22" i="7"/>
  <c r="L21" i="7"/>
  <c r="M21" i="7"/>
  <c r="K21" i="7"/>
  <c r="J21" i="7"/>
  <c r="I21" i="7"/>
  <c r="H21" i="7"/>
  <c r="G21" i="7"/>
  <c r="F21" i="7"/>
  <c r="E21" i="7"/>
  <c r="D21" i="7"/>
  <c r="C21" i="7"/>
  <c r="B21" i="7"/>
  <c r="A21" i="7"/>
  <c r="L20" i="7"/>
  <c r="K20" i="7"/>
  <c r="J20" i="7"/>
  <c r="I20" i="7"/>
  <c r="I28" i="7"/>
  <c r="H20" i="7"/>
  <c r="G20" i="7"/>
  <c r="F20" i="7"/>
  <c r="E20" i="7"/>
  <c r="E28" i="7"/>
  <c r="D20" i="7"/>
  <c r="C20" i="7"/>
  <c r="B20" i="7"/>
  <c r="A20" i="7"/>
  <c r="J40" i="6"/>
  <c r="J39" i="6"/>
  <c r="J38" i="6"/>
  <c r="M36" i="6"/>
  <c r="L36" i="6"/>
  <c r="K36" i="6"/>
  <c r="AZ86" i="6"/>
  <c r="AY86" i="6"/>
  <c r="AX86" i="6"/>
  <c r="AW86" i="6"/>
  <c r="AV86" i="6"/>
  <c r="AU86" i="6"/>
  <c r="AT86" i="6"/>
  <c r="AS86" i="6"/>
  <c r="AR86" i="6"/>
  <c r="AQ86" i="6"/>
  <c r="AZ85" i="6"/>
  <c r="AY85" i="6"/>
  <c r="AX85" i="6"/>
  <c r="AW85" i="6"/>
  <c r="AV85" i="6"/>
  <c r="AU85" i="6"/>
  <c r="AT85" i="6"/>
  <c r="AS85" i="6"/>
  <c r="AR85" i="6"/>
  <c r="AQ85" i="6"/>
  <c r="AZ84" i="6"/>
  <c r="AY84" i="6"/>
  <c r="AX84" i="6"/>
  <c r="AW84" i="6"/>
  <c r="AV84" i="6"/>
  <c r="AU84" i="6"/>
  <c r="AT84" i="6"/>
  <c r="AS84" i="6"/>
  <c r="AR84" i="6"/>
  <c r="AQ84" i="6"/>
  <c r="AZ83" i="6"/>
  <c r="AY83" i="6"/>
  <c r="AX83" i="6"/>
  <c r="AW83" i="6"/>
  <c r="AV83" i="6"/>
  <c r="AU83" i="6"/>
  <c r="AT83" i="6"/>
  <c r="AS83" i="6"/>
  <c r="AR83" i="6"/>
  <c r="AQ83" i="6"/>
  <c r="T9" i="5"/>
  <c r="F2" i="5"/>
  <c r="E2" i="5"/>
  <c r="D2" i="5"/>
  <c r="C2" i="5"/>
  <c r="B2" i="5"/>
  <c r="B1" i="5"/>
  <c r="AW93" i="6"/>
  <c r="BA93" i="6"/>
  <c r="BA94" i="6"/>
  <c r="BE93" i="6"/>
  <c r="B28" i="7"/>
  <c r="F28" i="7"/>
  <c r="J28" i="7"/>
  <c r="N21" i="7"/>
  <c r="N22" i="7"/>
  <c r="N25" i="7"/>
  <c r="N23" i="7"/>
  <c r="N24" i="7"/>
  <c r="N26" i="7"/>
  <c r="N27" i="7"/>
  <c r="AU87" i="6"/>
  <c r="C28" i="7"/>
  <c r="G28" i="7"/>
  <c r="B5" i="5"/>
  <c r="AU93" i="6"/>
  <c r="AY93" i="6"/>
  <c r="BC93" i="6"/>
  <c r="BG93" i="6"/>
  <c r="D28" i="7"/>
  <c r="H28" i="7"/>
  <c r="L28" i="7"/>
  <c r="AQ87" i="6"/>
  <c r="AY87" i="6"/>
  <c r="K28" i="7"/>
  <c r="AS87" i="6"/>
  <c r="AW87" i="6"/>
  <c r="M20" i="7"/>
  <c r="M28" i="7"/>
  <c r="G33" i="6"/>
  <c r="M37" i="6"/>
  <c r="C31" i="6"/>
  <c r="H31" i="6"/>
  <c r="K38" i="6"/>
  <c r="H33" i="6"/>
  <c r="M38" i="6"/>
  <c r="I32" i="6"/>
  <c r="L39" i="6"/>
  <c r="J31" i="6"/>
  <c r="K40" i="6"/>
  <c r="J33" i="6"/>
  <c r="M40" i="6"/>
  <c r="BB87" i="6"/>
  <c r="BD87" i="6"/>
  <c r="BF87" i="6"/>
  <c r="BH87" i="6"/>
  <c r="B31" i="6"/>
  <c r="G31" i="6"/>
  <c r="K37" i="6"/>
  <c r="G32" i="6"/>
  <c r="L37" i="6"/>
  <c r="H32" i="6"/>
  <c r="L38" i="6"/>
  <c r="I31" i="6"/>
  <c r="K39" i="6"/>
  <c r="I33" i="6"/>
  <c r="M39" i="6"/>
  <c r="J32" i="6"/>
  <c r="L40" i="6"/>
  <c r="AR87" i="6"/>
  <c r="AT87" i="6"/>
  <c r="AV87" i="6"/>
  <c r="AX87" i="6"/>
  <c r="AZ87" i="6"/>
  <c r="BC87" i="6"/>
  <c r="BC94" i="6"/>
  <c r="BE87" i="6"/>
  <c r="BG87" i="6"/>
  <c r="AT93" i="6"/>
  <c r="AV93" i="6"/>
  <c r="AX93" i="6"/>
  <c r="AZ93" i="6"/>
  <c r="BB93" i="6"/>
  <c r="BD93" i="6"/>
  <c r="BF93" i="6"/>
  <c r="BH93" i="6"/>
  <c r="B3" i="5"/>
  <c r="AZ86" i="4"/>
  <c r="AY86" i="4"/>
  <c r="AX86" i="4"/>
  <c r="AW86" i="4"/>
  <c r="AV86" i="4"/>
  <c r="AU86" i="4"/>
  <c r="AT86" i="4"/>
  <c r="AS86" i="4"/>
  <c r="AR86" i="4"/>
  <c r="AQ86" i="4"/>
  <c r="AZ85" i="4"/>
  <c r="AY85" i="4"/>
  <c r="AX85" i="4"/>
  <c r="AW85" i="4"/>
  <c r="AV85" i="4"/>
  <c r="AU85" i="4"/>
  <c r="AT85" i="4"/>
  <c r="AS85" i="4"/>
  <c r="AR85" i="4"/>
  <c r="AQ85" i="4"/>
  <c r="AZ84" i="4"/>
  <c r="AY84" i="4"/>
  <c r="AX84" i="4"/>
  <c r="AW84" i="4"/>
  <c r="AV84" i="4"/>
  <c r="AU84" i="4"/>
  <c r="AT84" i="4"/>
  <c r="AS84" i="4"/>
  <c r="AR84" i="4"/>
  <c r="AQ84" i="4"/>
  <c r="AZ83" i="4"/>
  <c r="AY83" i="4"/>
  <c r="AX83" i="4"/>
  <c r="AW83" i="4"/>
  <c r="AV83" i="4"/>
  <c r="AU83" i="4"/>
  <c r="AT83" i="4"/>
  <c r="AS83" i="4"/>
  <c r="AR83" i="4"/>
  <c r="AQ83" i="4"/>
  <c r="H25" i="4"/>
  <c r="G25" i="4"/>
  <c r="F25" i="4"/>
  <c r="E25" i="4"/>
  <c r="D25" i="4"/>
  <c r="C25" i="4"/>
  <c r="B25" i="4"/>
  <c r="H24" i="4"/>
  <c r="G24" i="4"/>
  <c r="F24" i="4"/>
  <c r="E24" i="4"/>
  <c r="D24" i="4"/>
  <c r="C24" i="4"/>
  <c r="B24" i="4"/>
  <c r="H23" i="4"/>
  <c r="G23" i="4"/>
  <c r="F23" i="4"/>
  <c r="E23" i="4"/>
  <c r="D23" i="4"/>
  <c r="C23" i="4"/>
  <c r="B23" i="4"/>
  <c r="CF8" i="4"/>
  <c r="CE8" i="4"/>
  <c r="CD8" i="4"/>
  <c r="CC8" i="4"/>
  <c r="CB8" i="4"/>
  <c r="CA8" i="4"/>
  <c r="BZ8" i="4"/>
  <c r="BY8" i="4"/>
  <c r="BX8" i="4"/>
  <c r="BV25" i="4"/>
  <c r="BU25" i="4"/>
  <c r="BT25" i="4"/>
  <c r="BS25" i="4"/>
  <c r="BR25" i="4"/>
  <c r="BQ25" i="4"/>
  <c r="BP25" i="4"/>
  <c r="BO25" i="4"/>
  <c r="BN25" i="4"/>
  <c r="BM25" i="4"/>
  <c r="BL25" i="4"/>
  <c r="BK25" i="4"/>
  <c r="BJ25" i="4"/>
  <c r="BI25" i="4"/>
  <c r="BH25" i="4"/>
  <c r="BG25" i="4"/>
  <c r="BF25" i="4"/>
  <c r="BE25" i="4"/>
  <c r="BD25" i="4"/>
  <c r="BC25" i="4"/>
  <c r="BB25" i="4"/>
  <c r="BA25" i="4"/>
  <c r="AZ25" i="4"/>
  <c r="AY25" i="4"/>
  <c r="AX25" i="4"/>
  <c r="AW25" i="4"/>
  <c r="AV25" i="4"/>
  <c r="AU25" i="4"/>
  <c r="AT25" i="4"/>
  <c r="AS25" i="4"/>
  <c r="AR25" i="4"/>
  <c r="AQ25" i="4"/>
  <c r="AP25" i="4"/>
  <c r="AO25" i="4"/>
  <c r="AN25" i="4"/>
  <c r="AM25" i="4"/>
  <c r="AL25" i="4"/>
  <c r="AK25" i="4"/>
  <c r="AJ25" i="4"/>
  <c r="AI25" i="4"/>
  <c r="AH25" i="4"/>
  <c r="AG25" i="4"/>
  <c r="AF25" i="4"/>
  <c r="AE25" i="4"/>
  <c r="AD25" i="4"/>
  <c r="AC25" i="4"/>
  <c r="AB25" i="4"/>
  <c r="AA25" i="4"/>
  <c r="Z25" i="4"/>
  <c r="Y25" i="4"/>
  <c r="X25" i="4"/>
  <c r="W25" i="4"/>
  <c r="V25" i="4"/>
  <c r="U25" i="4"/>
  <c r="T25" i="4"/>
  <c r="S25" i="4"/>
  <c r="R25" i="4"/>
  <c r="Q25" i="4"/>
  <c r="P25" i="4"/>
  <c r="O25" i="4"/>
  <c r="N25" i="4"/>
  <c r="M25" i="4"/>
  <c r="L25" i="4"/>
  <c r="K25" i="4"/>
  <c r="J25" i="4"/>
  <c r="I25" i="4"/>
  <c r="BV20" i="4"/>
  <c r="BU20" i="4"/>
  <c r="BT20" i="4"/>
  <c r="BS20" i="4"/>
  <c r="BR20" i="4"/>
  <c r="BQ20" i="4"/>
  <c r="BP20" i="4"/>
  <c r="BO20" i="4"/>
  <c r="BN20" i="4"/>
  <c r="BM20" i="4"/>
  <c r="BL20" i="4"/>
  <c r="BK20" i="4"/>
  <c r="BJ20" i="4"/>
  <c r="BI20" i="4"/>
  <c r="BH20" i="4"/>
  <c r="BG20" i="4"/>
  <c r="BF20" i="4"/>
  <c r="BE20" i="4"/>
  <c r="BD20" i="4"/>
  <c r="BC20" i="4"/>
  <c r="BB20" i="4"/>
  <c r="BA20" i="4"/>
  <c r="AZ20" i="4"/>
  <c r="AY20" i="4"/>
  <c r="AX20" i="4"/>
  <c r="AW20" i="4"/>
  <c r="AV20" i="4"/>
  <c r="AU20" i="4"/>
  <c r="AT20" i="4"/>
  <c r="AS20" i="4"/>
  <c r="AR20" i="4"/>
  <c r="AQ20" i="4"/>
  <c r="AP20" i="4"/>
  <c r="AO20" i="4"/>
  <c r="AN20" i="4"/>
  <c r="AM20" i="4"/>
  <c r="AL20" i="4"/>
  <c r="AK20" i="4"/>
  <c r="AJ20" i="4"/>
  <c r="AI20" i="4"/>
  <c r="AH20" i="4"/>
  <c r="AG20" i="4"/>
  <c r="AF20" i="4"/>
  <c r="AE20" i="4"/>
  <c r="AD20" i="4"/>
  <c r="AC20" i="4"/>
  <c r="AB20" i="4"/>
  <c r="AA20" i="4"/>
  <c r="Z20" i="4"/>
  <c r="Y20" i="4"/>
  <c r="X20" i="4"/>
  <c r="W20" i="4"/>
  <c r="V20" i="4"/>
  <c r="U20" i="4"/>
  <c r="T20" i="4"/>
  <c r="S20" i="4"/>
  <c r="R20" i="4"/>
  <c r="Q20" i="4"/>
  <c r="P20" i="4"/>
  <c r="O20" i="4"/>
  <c r="N20" i="4"/>
  <c r="M20" i="4"/>
  <c r="L20" i="4"/>
  <c r="K20" i="4"/>
  <c r="J20" i="4"/>
  <c r="I20" i="4"/>
  <c r="H20" i="4"/>
  <c r="G20" i="4"/>
  <c r="F20" i="4"/>
  <c r="E20" i="4"/>
  <c r="D20" i="4"/>
  <c r="C20" i="4"/>
  <c r="B20" i="4"/>
  <c r="BV24" i="4"/>
  <c r="BU24" i="4"/>
  <c r="BT24" i="4"/>
  <c r="BS24" i="4"/>
  <c r="BR24" i="4"/>
  <c r="BQ24" i="4"/>
  <c r="BP24" i="4"/>
  <c r="BO24" i="4"/>
  <c r="BN24" i="4"/>
  <c r="BM24" i="4"/>
  <c r="BL24" i="4"/>
  <c r="BK24" i="4"/>
  <c r="BJ24" i="4"/>
  <c r="BI24" i="4"/>
  <c r="BH24" i="4"/>
  <c r="BG24" i="4"/>
  <c r="BF24" i="4"/>
  <c r="BE24" i="4"/>
  <c r="BD24" i="4"/>
  <c r="BC24" i="4"/>
  <c r="BB24" i="4"/>
  <c r="BA24" i="4"/>
  <c r="AZ24" i="4"/>
  <c r="AY24" i="4"/>
  <c r="AX24" i="4"/>
  <c r="AW24" i="4"/>
  <c r="AV24" i="4"/>
  <c r="AU24" i="4"/>
  <c r="AT24" i="4"/>
  <c r="AS24" i="4"/>
  <c r="AR24" i="4"/>
  <c r="AQ24" i="4"/>
  <c r="AP24" i="4"/>
  <c r="AO24" i="4"/>
  <c r="AN24" i="4"/>
  <c r="AM24" i="4"/>
  <c r="AL24" i="4"/>
  <c r="AK24" i="4"/>
  <c r="AJ24" i="4"/>
  <c r="AI24" i="4"/>
  <c r="AH24" i="4"/>
  <c r="AG24" i="4"/>
  <c r="AF24" i="4"/>
  <c r="AE24" i="4"/>
  <c r="AD24" i="4"/>
  <c r="AC24" i="4"/>
  <c r="AB24" i="4"/>
  <c r="AA24" i="4"/>
  <c r="Z24" i="4"/>
  <c r="Y24" i="4"/>
  <c r="X24" i="4"/>
  <c r="W24" i="4"/>
  <c r="V24" i="4"/>
  <c r="U24" i="4"/>
  <c r="T24" i="4"/>
  <c r="S24" i="4"/>
  <c r="R24" i="4"/>
  <c r="Q24" i="4"/>
  <c r="P24" i="4"/>
  <c r="O24" i="4"/>
  <c r="N24" i="4"/>
  <c r="M24" i="4"/>
  <c r="L24" i="4"/>
  <c r="K24" i="4"/>
  <c r="J24" i="4"/>
  <c r="I24" i="4"/>
  <c r="BV19" i="4"/>
  <c r="BU19" i="4"/>
  <c r="BT19" i="4"/>
  <c r="BS19" i="4"/>
  <c r="BR19" i="4"/>
  <c r="BQ19" i="4"/>
  <c r="BP19" i="4"/>
  <c r="BO19" i="4"/>
  <c r="BN19" i="4"/>
  <c r="BM19" i="4"/>
  <c r="BL19" i="4"/>
  <c r="BK19" i="4"/>
  <c r="BJ19" i="4"/>
  <c r="BI19" i="4"/>
  <c r="BH19" i="4"/>
  <c r="BG19" i="4"/>
  <c r="BF19" i="4"/>
  <c r="BE19" i="4"/>
  <c r="BD19" i="4"/>
  <c r="BC19" i="4"/>
  <c r="BB19" i="4"/>
  <c r="BA19" i="4"/>
  <c r="AZ19" i="4"/>
  <c r="AY19" i="4"/>
  <c r="AX19" i="4"/>
  <c r="AW19" i="4"/>
  <c r="AV19" i="4"/>
  <c r="AU19" i="4"/>
  <c r="AT19" i="4"/>
  <c r="AS19" i="4"/>
  <c r="AR19" i="4"/>
  <c r="AQ19" i="4"/>
  <c r="AP19" i="4"/>
  <c r="AO19" i="4"/>
  <c r="AN19" i="4"/>
  <c r="AM19" i="4"/>
  <c r="AL19" i="4"/>
  <c r="AK19" i="4"/>
  <c r="AJ19" i="4"/>
  <c r="AI19" i="4"/>
  <c r="AH19" i="4"/>
  <c r="AG19" i="4"/>
  <c r="AF19" i="4"/>
  <c r="AE19" i="4"/>
  <c r="AD19" i="4"/>
  <c r="AC19" i="4"/>
  <c r="AB19" i="4"/>
  <c r="AA19" i="4"/>
  <c r="Z19" i="4"/>
  <c r="Y19" i="4"/>
  <c r="X19" i="4"/>
  <c r="W19" i="4"/>
  <c r="V19" i="4"/>
  <c r="U19" i="4"/>
  <c r="T19" i="4"/>
  <c r="S19" i="4"/>
  <c r="R19" i="4"/>
  <c r="Q19" i="4"/>
  <c r="P19" i="4"/>
  <c r="O19" i="4"/>
  <c r="N19" i="4"/>
  <c r="M19" i="4"/>
  <c r="L19" i="4"/>
  <c r="K19" i="4"/>
  <c r="J19" i="4"/>
  <c r="I19" i="4"/>
  <c r="H19" i="4"/>
  <c r="G19" i="4"/>
  <c r="F19" i="4"/>
  <c r="E19" i="4"/>
  <c r="D19" i="4"/>
  <c r="C19" i="4"/>
  <c r="B19" i="4"/>
  <c r="BV23" i="4"/>
  <c r="BU23" i="4"/>
  <c r="BT23" i="4"/>
  <c r="BS23" i="4"/>
  <c r="BR23" i="4"/>
  <c r="BQ23" i="4"/>
  <c r="BP23" i="4"/>
  <c r="BO23" i="4"/>
  <c r="BN23" i="4"/>
  <c r="BM23" i="4"/>
  <c r="BL23" i="4"/>
  <c r="BK23" i="4"/>
  <c r="BJ23" i="4"/>
  <c r="BI23" i="4"/>
  <c r="BH23" i="4"/>
  <c r="BG23" i="4"/>
  <c r="BF23" i="4"/>
  <c r="BE23" i="4"/>
  <c r="BD23" i="4"/>
  <c r="BC23" i="4"/>
  <c r="BB23" i="4"/>
  <c r="BA23" i="4"/>
  <c r="AZ23" i="4"/>
  <c r="AY23" i="4"/>
  <c r="AX23" i="4"/>
  <c r="AW23" i="4"/>
  <c r="AV23" i="4"/>
  <c r="AU23" i="4"/>
  <c r="AT23" i="4"/>
  <c r="AS23" i="4"/>
  <c r="AR23" i="4"/>
  <c r="AQ23" i="4"/>
  <c r="AP23" i="4"/>
  <c r="AO23" i="4"/>
  <c r="AN23" i="4"/>
  <c r="AM23" i="4"/>
  <c r="AL23" i="4"/>
  <c r="AK23" i="4"/>
  <c r="AJ23" i="4"/>
  <c r="AI23" i="4"/>
  <c r="AH23" i="4"/>
  <c r="AG23" i="4"/>
  <c r="AF23" i="4"/>
  <c r="AE23" i="4"/>
  <c r="AD23" i="4"/>
  <c r="AC23" i="4"/>
  <c r="AB23" i="4"/>
  <c r="AA23" i="4"/>
  <c r="Z23" i="4"/>
  <c r="Y23" i="4"/>
  <c r="X23" i="4"/>
  <c r="W23" i="4"/>
  <c r="V23" i="4"/>
  <c r="U23" i="4"/>
  <c r="T23" i="4"/>
  <c r="S23" i="4"/>
  <c r="R23" i="4"/>
  <c r="Q23" i="4"/>
  <c r="P23" i="4"/>
  <c r="O23" i="4"/>
  <c r="N23" i="4"/>
  <c r="M23" i="4"/>
  <c r="L23" i="4"/>
  <c r="K23" i="4"/>
  <c r="J23" i="4"/>
  <c r="I23" i="4"/>
  <c r="BV18" i="4"/>
  <c r="BU18" i="4"/>
  <c r="BT18" i="4"/>
  <c r="BS18" i="4"/>
  <c r="BR18" i="4"/>
  <c r="BQ18" i="4"/>
  <c r="BP18" i="4"/>
  <c r="BO18" i="4"/>
  <c r="BN18" i="4"/>
  <c r="BM18" i="4"/>
  <c r="BL18" i="4"/>
  <c r="BK18" i="4"/>
  <c r="BJ18" i="4"/>
  <c r="BI18" i="4"/>
  <c r="BH18" i="4"/>
  <c r="BG18" i="4"/>
  <c r="BF18" i="4"/>
  <c r="BE18" i="4"/>
  <c r="BD18" i="4"/>
  <c r="BC18" i="4"/>
  <c r="BB18" i="4"/>
  <c r="BA18" i="4"/>
  <c r="AZ18" i="4"/>
  <c r="AY18" i="4"/>
  <c r="AX18" i="4"/>
  <c r="AW18" i="4"/>
  <c r="AV18" i="4"/>
  <c r="AU18" i="4"/>
  <c r="AT18" i="4"/>
  <c r="AS18" i="4"/>
  <c r="AR18" i="4"/>
  <c r="AQ18" i="4"/>
  <c r="AP18" i="4"/>
  <c r="AO18" i="4"/>
  <c r="AN18" i="4"/>
  <c r="AM18" i="4"/>
  <c r="AL18" i="4"/>
  <c r="AK18" i="4"/>
  <c r="AJ18" i="4"/>
  <c r="AI18" i="4"/>
  <c r="AH18" i="4"/>
  <c r="AG18" i="4"/>
  <c r="AF18" i="4"/>
  <c r="AE18" i="4"/>
  <c r="AD18" i="4"/>
  <c r="AC18" i="4"/>
  <c r="AB18" i="4"/>
  <c r="AA18" i="4"/>
  <c r="Z18" i="4"/>
  <c r="Y18" i="4"/>
  <c r="X18" i="4"/>
  <c r="W18" i="4"/>
  <c r="V18" i="4"/>
  <c r="U18" i="4"/>
  <c r="T18" i="4"/>
  <c r="S18" i="4"/>
  <c r="R18" i="4"/>
  <c r="Q18" i="4"/>
  <c r="P18" i="4"/>
  <c r="O18" i="4"/>
  <c r="N18" i="4"/>
  <c r="M18" i="4"/>
  <c r="L18" i="4"/>
  <c r="K18" i="4"/>
  <c r="J18" i="4"/>
  <c r="I18" i="4"/>
  <c r="H18" i="4"/>
  <c r="G18" i="4"/>
  <c r="F18" i="4"/>
  <c r="E18" i="4"/>
  <c r="D18" i="4"/>
  <c r="C18" i="4"/>
  <c r="B18" i="4"/>
  <c r="AW94" i="6"/>
  <c r="AT87" i="4"/>
  <c r="AX87" i="4"/>
  <c r="BE94" i="6"/>
  <c r="AY94" i="6"/>
  <c r="AT94" i="6"/>
  <c r="AU94" i="6"/>
  <c r="AX94" i="6"/>
  <c r="BB94" i="6"/>
  <c r="B27" i="4"/>
  <c r="F27" i="4"/>
  <c r="J27" i="4"/>
  <c r="N27" i="4"/>
  <c r="R27" i="4"/>
  <c r="V27" i="4"/>
  <c r="Z27" i="4"/>
  <c r="AD27" i="4"/>
  <c r="AH27" i="4"/>
  <c r="AL27" i="4"/>
  <c r="AP27" i="4"/>
  <c r="AT27" i="4"/>
  <c r="AX27" i="4"/>
  <c r="BB27" i="4"/>
  <c r="BF27" i="4"/>
  <c r="BJ27" i="4"/>
  <c r="BN27" i="4"/>
  <c r="BR27" i="4"/>
  <c r="BV27" i="4"/>
  <c r="BC87" i="4"/>
  <c r="BG87" i="4"/>
  <c r="AW93" i="4"/>
  <c r="BA93" i="4"/>
  <c r="BA94" i="4"/>
  <c r="BE93" i="4"/>
  <c r="BD94" i="6"/>
  <c r="G27" i="4"/>
  <c r="O27" i="4"/>
  <c r="W27" i="4"/>
  <c r="AI27" i="4"/>
  <c r="AQ27" i="4"/>
  <c r="AY27" i="4"/>
  <c r="BG27" i="4"/>
  <c r="BO27" i="4"/>
  <c r="AU87" i="4"/>
  <c r="BD87" i="4"/>
  <c r="AT93" i="4"/>
  <c r="AT94" i="4"/>
  <c r="BB93" i="4"/>
  <c r="H27" i="4"/>
  <c r="L27" i="4"/>
  <c r="P27" i="4"/>
  <c r="T27" i="4"/>
  <c r="X27" i="4"/>
  <c r="AB27" i="4"/>
  <c r="AF27" i="4"/>
  <c r="AJ27" i="4"/>
  <c r="AN27" i="4"/>
  <c r="AR27" i="4"/>
  <c r="AV27" i="4"/>
  <c r="AZ27" i="4"/>
  <c r="BD27" i="4"/>
  <c r="BH27" i="4"/>
  <c r="BL27" i="4"/>
  <c r="BP27" i="4"/>
  <c r="BT27" i="4"/>
  <c r="AR87" i="4"/>
  <c r="AV87" i="4"/>
  <c r="AZ87" i="4"/>
  <c r="BE87" i="4"/>
  <c r="AU93" i="4"/>
  <c r="AY93" i="4"/>
  <c r="BC93" i="4"/>
  <c r="BG93" i="4"/>
  <c r="BH94" i="6"/>
  <c r="BG94" i="6"/>
  <c r="C27" i="4"/>
  <c r="K27" i="4"/>
  <c r="S27" i="4"/>
  <c r="AA27" i="4"/>
  <c r="AE27" i="4"/>
  <c r="AM27" i="4"/>
  <c r="AU27" i="4"/>
  <c r="BC27" i="4"/>
  <c r="BK27" i="4"/>
  <c r="BS27" i="4"/>
  <c r="AQ87" i="4"/>
  <c r="AY87" i="4"/>
  <c r="BH87" i="4"/>
  <c r="AX93" i="4"/>
  <c r="AX94" i="4"/>
  <c r="BF93" i="4"/>
  <c r="D27" i="4"/>
  <c r="E27" i="4"/>
  <c r="I27" i="4"/>
  <c r="M27" i="4"/>
  <c r="Q27" i="4"/>
  <c r="U27" i="4"/>
  <c r="Y27" i="4"/>
  <c r="AC27" i="4"/>
  <c r="AG27" i="4"/>
  <c r="AK27" i="4"/>
  <c r="AO27" i="4"/>
  <c r="AS27" i="4"/>
  <c r="AW27" i="4"/>
  <c r="BA27" i="4"/>
  <c r="BE27" i="4"/>
  <c r="BI27" i="4"/>
  <c r="BM27" i="4"/>
  <c r="BQ27" i="4"/>
  <c r="BU27" i="4"/>
  <c r="AS87" i="4"/>
  <c r="AW87" i="4"/>
  <c r="BB87" i="4"/>
  <c r="BB94" i="4"/>
  <c r="BF87" i="4"/>
  <c r="AV93" i="4"/>
  <c r="AZ93" i="4"/>
  <c r="AZ94" i="4"/>
  <c r="BD93" i="4"/>
  <c r="BH93" i="4"/>
  <c r="BF94" i="6"/>
  <c r="N20" i="7"/>
  <c r="AZ94" i="6"/>
  <c r="AV94" i="6"/>
  <c r="B8" i="4"/>
  <c r="D8" i="4"/>
  <c r="F8" i="4"/>
  <c r="H8" i="4"/>
  <c r="J8" i="4"/>
  <c r="L8" i="4"/>
  <c r="N8" i="4"/>
  <c r="P8" i="4"/>
  <c r="R8" i="4"/>
  <c r="T8" i="4"/>
  <c r="V8" i="4"/>
  <c r="X8" i="4"/>
  <c r="Z8" i="4"/>
  <c r="AB8" i="4"/>
  <c r="AD8" i="4"/>
  <c r="AF8" i="4"/>
  <c r="AH8" i="4"/>
  <c r="AJ8" i="4"/>
  <c r="AL8" i="4"/>
  <c r="AN8" i="4"/>
  <c r="AP8" i="4"/>
  <c r="AR8" i="4"/>
  <c r="AT8" i="4"/>
  <c r="AV8" i="4"/>
  <c r="AX8" i="4"/>
  <c r="AZ8" i="4"/>
  <c r="BB8" i="4"/>
  <c r="BD8" i="4"/>
  <c r="BF8" i="4"/>
  <c r="BH8" i="4"/>
  <c r="BJ8" i="4"/>
  <c r="BL8" i="4"/>
  <c r="BN8" i="4"/>
  <c r="BP8" i="4"/>
  <c r="BR8" i="4"/>
  <c r="BT8" i="4"/>
  <c r="BV8" i="4"/>
  <c r="CH8" i="4"/>
  <c r="CJ8" i="4"/>
  <c r="CL8" i="4"/>
  <c r="CN8" i="4"/>
  <c r="CP8" i="4"/>
  <c r="CR8" i="4"/>
  <c r="CT8" i="4"/>
  <c r="CV8" i="4"/>
  <c r="CX8" i="4"/>
  <c r="CZ8" i="4"/>
  <c r="DB8" i="4"/>
  <c r="DD8" i="4"/>
  <c r="DF8" i="4"/>
  <c r="DH8" i="4"/>
  <c r="DJ8" i="4"/>
  <c r="DL8" i="4"/>
  <c r="DN8" i="4"/>
  <c r="DP8" i="4"/>
  <c r="DR8" i="4"/>
  <c r="DT8" i="4"/>
  <c r="DV8" i="4"/>
  <c r="DX8" i="4"/>
  <c r="DZ8" i="4"/>
  <c r="EB8" i="4"/>
  <c r="ED8" i="4"/>
  <c r="EF8" i="4"/>
  <c r="EF12" i="4"/>
  <c r="EH8" i="4"/>
  <c r="EH11" i="4"/>
  <c r="EJ8" i="4"/>
  <c r="EJ11" i="4"/>
  <c r="EL8" i="4"/>
  <c r="EL11" i="4"/>
  <c r="EN8" i="4"/>
  <c r="EN11" i="4"/>
  <c r="EP8" i="4"/>
  <c r="EP11" i="4"/>
  <c r="ER8" i="4"/>
  <c r="ER11" i="4"/>
  <c r="ET8" i="4"/>
  <c r="ET11" i="4"/>
  <c r="BW5" i="4"/>
  <c r="BW6" i="4"/>
  <c r="BW7" i="4"/>
  <c r="C8" i="4"/>
  <c r="E8" i="4"/>
  <c r="G8" i="4"/>
  <c r="I8" i="4"/>
  <c r="K8" i="4"/>
  <c r="M8" i="4"/>
  <c r="O8" i="4"/>
  <c r="Q8" i="4"/>
  <c r="S8" i="4"/>
  <c r="U8" i="4"/>
  <c r="W8" i="4"/>
  <c r="Y8" i="4"/>
  <c r="AA8" i="4"/>
  <c r="AC8" i="4"/>
  <c r="AE8" i="4"/>
  <c r="AG8" i="4"/>
  <c r="AI8" i="4"/>
  <c r="AK8" i="4"/>
  <c r="AM8" i="4"/>
  <c r="AO8" i="4"/>
  <c r="AQ8" i="4"/>
  <c r="AS8" i="4"/>
  <c r="AU8" i="4"/>
  <c r="AW8" i="4"/>
  <c r="AY8" i="4"/>
  <c r="BA8" i="4"/>
  <c r="BC8" i="4"/>
  <c r="BE8" i="4"/>
  <c r="BG8" i="4"/>
  <c r="BI8" i="4"/>
  <c r="BK8" i="4"/>
  <c r="BM8" i="4"/>
  <c r="BO8" i="4"/>
  <c r="BQ8" i="4"/>
  <c r="BS8" i="4"/>
  <c r="BU8" i="4"/>
  <c r="CG8" i="4"/>
  <c r="CI8" i="4"/>
  <c r="CK8" i="4"/>
  <c r="CM8" i="4"/>
  <c r="CO8" i="4"/>
  <c r="CQ8" i="4"/>
  <c r="CS8" i="4"/>
  <c r="CU8" i="4"/>
  <c r="CW8" i="4"/>
  <c r="CY8" i="4"/>
  <c r="DA8" i="4"/>
  <c r="DC8" i="4"/>
  <c r="DE8" i="4"/>
  <c r="DG8" i="4"/>
  <c r="DI8" i="4"/>
  <c r="DK8" i="4"/>
  <c r="DM8" i="4"/>
  <c r="DO8" i="4"/>
  <c r="DQ8" i="4"/>
  <c r="DS8" i="4"/>
  <c r="DU8" i="4"/>
  <c r="DW8" i="4"/>
  <c r="DY8" i="4"/>
  <c r="EA8" i="4"/>
  <c r="EC8" i="4"/>
  <c r="EE8" i="4"/>
  <c r="EE12" i="4"/>
  <c r="EG8" i="4"/>
  <c r="EG11" i="4"/>
  <c r="EI8" i="4"/>
  <c r="EI11" i="4"/>
  <c r="EK8" i="4"/>
  <c r="EK11" i="4"/>
  <c r="EM8" i="4"/>
  <c r="EM11" i="4"/>
  <c r="EO8" i="4"/>
  <c r="EO11" i="4"/>
  <c r="EQ8" i="4"/>
  <c r="EQ11" i="4"/>
  <c r="ES8" i="4"/>
  <c r="ES11" i="4"/>
  <c r="BG94" i="4"/>
  <c r="EE16" i="4"/>
  <c r="BC94" i="4"/>
  <c r="BE94" i="4"/>
  <c r="BD94" i="4"/>
  <c r="AV94" i="4"/>
  <c r="AW94" i="4"/>
  <c r="BF94" i="4"/>
  <c r="BH94" i="4"/>
  <c r="AU94" i="4"/>
  <c r="AY94" i="4"/>
  <c r="BW8" i="4"/>
  <c r="T10" i="2"/>
  <c r="S10" i="2"/>
  <c r="R10" i="2"/>
  <c r="Q10" i="2"/>
  <c r="P10" i="2"/>
  <c r="O10" i="2"/>
  <c r="N10" i="2"/>
  <c r="M10" i="2"/>
  <c r="L10" i="2"/>
  <c r="K10" i="2"/>
  <c r="J10" i="2"/>
  <c r="I10" i="2"/>
  <c r="H10" i="2"/>
  <c r="G10" i="2"/>
  <c r="F10" i="2"/>
  <c r="E10" i="2"/>
  <c r="D10" i="2"/>
  <c r="C10" i="2"/>
  <c r="B10" i="2"/>
  <c r="T9" i="2"/>
  <c r="S9" i="2"/>
  <c r="R9" i="2"/>
  <c r="Q9" i="2"/>
  <c r="P9" i="2"/>
  <c r="O9" i="2"/>
  <c r="N9" i="2"/>
  <c r="M9" i="2"/>
  <c r="L9" i="2"/>
  <c r="K9" i="2"/>
  <c r="J9" i="2"/>
  <c r="I9" i="2"/>
  <c r="H9" i="2"/>
  <c r="G9" i="2"/>
  <c r="F9" i="2"/>
  <c r="E9" i="2"/>
  <c r="D9" i="2"/>
  <c r="C9" i="2"/>
  <c r="B9" i="2"/>
  <c r="T8" i="2"/>
  <c r="S8" i="2"/>
  <c r="R8" i="2"/>
  <c r="Q8" i="2"/>
  <c r="P8" i="2"/>
  <c r="O8" i="2"/>
  <c r="N8" i="2"/>
  <c r="M8" i="2"/>
  <c r="L8" i="2"/>
  <c r="K8" i="2"/>
  <c r="J8" i="2"/>
  <c r="I8" i="2"/>
  <c r="H8" i="2"/>
  <c r="G8" i="2"/>
  <c r="F8" i="2"/>
  <c r="E8" i="2"/>
  <c r="D8" i="2"/>
  <c r="C8" i="2"/>
  <c r="B8" i="2"/>
  <c r="L27" i="1"/>
  <c r="K27" i="1"/>
  <c r="J27" i="1"/>
  <c r="I27" i="1"/>
  <c r="H27" i="1"/>
  <c r="G27" i="1"/>
  <c r="F27" i="1"/>
  <c r="E27" i="1"/>
  <c r="D27" i="1"/>
  <c r="C27" i="1"/>
  <c r="B27" i="1"/>
  <c r="A27" i="1"/>
  <c r="L26" i="1"/>
  <c r="K26" i="1"/>
  <c r="J26" i="1"/>
  <c r="I26" i="1"/>
  <c r="H26" i="1"/>
  <c r="G26" i="1"/>
  <c r="F26" i="1"/>
  <c r="E26" i="1"/>
  <c r="D26" i="1"/>
  <c r="C26" i="1"/>
  <c r="B26" i="1"/>
  <c r="L25" i="1"/>
  <c r="K25" i="1"/>
  <c r="J25" i="1"/>
  <c r="I25" i="1"/>
  <c r="H25" i="1"/>
  <c r="G25" i="1"/>
  <c r="F25" i="1"/>
  <c r="E25" i="1"/>
  <c r="D25" i="1"/>
  <c r="C25" i="1"/>
  <c r="B25" i="1"/>
  <c r="A25" i="1"/>
  <c r="L24" i="1"/>
  <c r="K24" i="1"/>
  <c r="J24" i="1"/>
  <c r="I24" i="1"/>
  <c r="H24" i="1"/>
  <c r="G24" i="1"/>
  <c r="F24" i="1"/>
  <c r="E24" i="1"/>
  <c r="D24" i="1"/>
  <c r="C24" i="1"/>
  <c r="B24" i="1"/>
  <c r="A24" i="1"/>
  <c r="L23" i="1"/>
  <c r="K23" i="1"/>
  <c r="J23" i="1"/>
  <c r="I23" i="1"/>
  <c r="H23" i="1"/>
  <c r="G23" i="1"/>
  <c r="F23" i="1"/>
  <c r="E23" i="1"/>
  <c r="D23" i="1"/>
  <c r="C23" i="1"/>
  <c r="B23" i="1"/>
  <c r="A23" i="1"/>
  <c r="L22" i="1"/>
  <c r="K22" i="1"/>
  <c r="J22" i="1"/>
  <c r="I22" i="1"/>
  <c r="H22" i="1"/>
  <c r="G22" i="1"/>
  <c r="F22" i="1"/>
  <c r="E22" i="1"/>
  <c r="D22" i="1"/>
  <c r="C22" i="1"/>
  <c r="B22" i="1"/>
  <c r="A22" i="1"/>
  <c r="L21" i="1"/>
  <c r="K21" i="1"/>
  <c r="J21" i="1"/>
  <c r="I21" i="1"/>
  <c r="H21" i="1"/>
  <c r="G21" i="1"/>
  <c r="F21" i="1"/>
  <c r="E21" i="1"/>
  <c r="D21" i="1"/>
  <c r="C21" i="1"/>
  <c r="B21" i="1"/>
  <c r="A21" i="1"/>
  <c r="L20" i="1"/>
  <c r="L28" i="1"/>
  <c r="K20" i="1"/>
  <c r="J20" i="1"/>
  <c r="I20" i="1"/>
  <c r="H20" i="1"/>
  <c r="H28" i="1"/>
  <c r="G20" i="1"/>
  <c r="F20" i="1"/>
  <c r="E20" i="1"/>
  <c r="D20" i="1"/>
  <c r="D28" i="1"/>
  <c r="C20" i="1"/>
  <c r="B20" i="1"/>
  <c r="A20" i="1"/>
  <c r="I28" i="1"/>
  <c r="E28" i="1"/>
  <c r="F28" i="1"/>
  <c r="U10" i="2"/>
  <c r="C28" i="1"/>
  <c r="G28" i="1"/>
  <c r="K28" i="1"/>
  <c r="U9" i="2"/>
  <c r="B28" i="1"/>
  <c r="J28" i="1"/>
  <c r="U8" i="2"/>
  <c r="AD16" i="3"/>
  <c r="AC16" i="3"/>
</calcChain>
</file>

<file path=xl/comments1.xml><?xml version="1.0" encoding="utf-8"?>
<comments xmlns="http://schemas.openxmlformats.org/spreadsheetml/2006/main">
  <authors>
    <author>opa</author>
    <author>Alefiya Jivajee</author>
    <author>susan.musei</author>
  </authors>
  <commentList>
    <comment ref="Q5" authorId="0" shapeId="0">
      <text>
        <r>
          <rPr>
            <b/>
            <sz val="10"/>
            <color indexed="81"/>
            <rFont val="Tahoma"/>
            <family val="2"/>
          </rPr>
          <t>opa:</t>
        </r>
        <r>
          <rPr>
            <sz val="10"/>
            <color indexed="81"/>
            <rFont val="Tahoma"/>
            <family val="2"/>
          </rPr>
          <t xml:space="preserve">
charge type 0193</t>
        </r>
      </text>
    </comment>
    <comment ref="R5" authorId="0" shapeId="0">
      <text>
        <r>
          <rPr>
            <b/>
            <sz val="10"/>
            <color indexed="81"/>
            <rFont val="Tahoma"/>
            <family val="2"/>
          </rPr>
          <t>opa:</t>
        </r>
        <r>
          <rPr>
            <sz val="10"/>
            <color indexed="81"/>
            <rFont val="Tahoma"/>
            <family val="2"/>
          </rPr>
          <t xml:space="preserve">
charge type 0193</t>
        </r>
      </text>
    </comment>
    <comment ref="S5" authorId="0" shapeId="0">
      <text>
        <r>
          <rPr>
            <b/>
            <sz val="10"/>
            <color indexed="81"/>
            <rFont val="Tahoma"/>
            <family val="2"/>
          </rPr>
          <t>opa:</t>
        </r>
        <r>
          <rPr>
            <sz val="10"/>
            <color indexed="81"/>
            <rFont val="Tahoma"/>
            <family val="2"/>
          </rPr>
          <t xml:space="preserve">
charge type 0193</t>
        </r>
      </text>
    </comment>
    <comment ref="T5" authorId="0" shapeId="0">
      <text>
        <r>
          <rPr>
            <b/>
            <sz val="10"/>
            <color indexed="81"/>
            <rFont val="Tahoma"/>
            <family val="2"/>
          </rPr>
          <t>opa:</t>
        </r>
        <r>
          <rPr>
            <sz val="10"/>
            <color indexed="81"/>
            <rFont val="Tahoma"/>
            <family val="2"/>
          </rPr>
          <t xml:space="preserve">
charge type 0193</t>
        </r>
      </text>
    </comment>
    <comment ref="U5" authorId="0" shapeId="0">
      <text>
        <r>
          <rPr>
            <b/>
            <sz val="10"/>
            <color indexed="81"/>
            <rFont val="Tahoma"/>
            <family val="2"/>
          </rPr>
          <t>opa:</t>
        </r>
        <r>
          <rPr>
            <sz val="10"/>
            <color indexed="81"/>
            <rFont val="Tahoma"/>
            <family val="2"/>
          </rPr>
          <t xml:space="preserve">
charge type 0193</t>
        </r>
      </text>
    </comment>
    <comment ref="V5" authorId="0" shapeId="0">
      <text>
        <r>
          <rPr>
            <b/>
            <sz val="10"/>
            <color indexed="81"/>
            <rFont val="Tahoma"/>
            <family val="2"/>
          </rPr>
          <t>opa:</t>
        </r>
        <r>
          <rPr>
            <sz val="10"/>
            <color indexed="81"/>
            <rFont val="Tahoma"/>
            <family val="2"/>
          </rPr>
          <t xml:space="preserve">
charge type 0193</t>
        </r>
      </text>
    </comment>
    <comment ref="W5" authorId="0" shapeId="0">
      <text>
        <r>
          <rPr>
            <b/>
            <sz val="10"/>
            <color indexed="81"/>
            <rFont val="Tahoma"/>
            <family val="2"/>
          </rPr>
          <t>opa:</t>
        </r>
        <r>
          <rPr>
            <sz val="10"/>
            <color indexed="81"/>
            <rFont val="Tahoma"/>
            <family val="2"/>
          </rPr>
          <t xml:space="preserve">
charge type 0193</t>
        </r>
      </text>
    </comment>
    <comment ref="X5" authorId="0" shapeId="0">
      <text>
        <r>
          <rPr>
            <b/>
            <sz val="10"/>
            <color indexed="81"/>
            <rFont val="Tahoma"/>
            <family val="2"/>
          </rPr>
          <t>opa:</t>
        </r>
        <r>
          <rPr>
            <sz val="10"/>
            <color indexed="81"/>
            <rFont val="Tahoma"/>
            <family val="2"/>
          </rPr>
          <t xml:space="preserve">
charge type 0193</t>
        </r>
      </text>
    </comment>
    <comment ref="Y5" authorId="0" shapeId="0">
      <text>
        <r>
          <rPr>
            <b/>
            <sz val="10"/>
            <color indexed="81"/>
            <rFont val="Tahoma"/>
            <family val="2"/>
          </rPr>
          <t>opa:</t>
        </r>
        <r>
          <rPr>
            <sz val="10"/>
            <color indexed="81"/>
            <rFont val="Tahoma"/>
            <family val="2"/>
          </rPr>
          <t xml:space="preserve">
charge type 0193</t>
        </r>
      </text>
    </comment>
    <comment ref="Z5" authorId="0" shapeId="0">
      <text>
        <r>
          <rPr>
            <b/>
            <sz val="10"/>
            <color indexed="81"/>
            <rFont val="Tahoma"/>
            <family val="2"/>
          </rPr>
          <t>opa:</t>
        </r>
        <r>
          <rPr>
            <sz val="10"/>
            <color indexed="81"/>
            <rFont val="Tahoma"/>
            <family val="2"/>
          </rPr>
          <t xml:space="preserve">
charge type 0193</t>
        </r>
      </text>
    </comment>
    <comment ref="AA5" authorId="0" shapeId="0">
      <text>
        <r>
          <rPr>
            <b/>
            <sz val="10"/>
            <color indexed="81"/>
            <rFont val="Tahoma"/>
            <family val="2"/>
          </rPr>
          <t>opa:</t>
        </r>
        <r>
          <rPr>
            <sz val="10"/>
            <color indexed="81"/>
            <rFont val="Tahoma"/>
            <family val="2"/>
          </rPr>
          <t xml:space="preserve">
charge type 0193</t>
        </r>
      </text>
    </comment>
    <comment ref="AB5" authorId="0" shapeId="0">
      <text>
        <r>
          <rPr>
            <b/>
            <sz val="10"/>
            <color indexed="81"/>
            <rFont val="Tahoma"/>
            <family val="2"/>
          </rPr>
          <t>opa:</t>
        </r>
        <r>
          <rPr>
            <sz val="10"/>
            <color indexed="81"/>
            <rFont val="Tahoma"/>
            <family val="2"/>
          </rPr>
          <t xml:space="preserve">
charge type 0193</t>
        </r>
      </text>
    </comment>
    <comment ref="AC5" authorId="0" shapeId="0">
      <text>
        <r>
          <rPr>
            <b/>
            <sz val="10"/>
            <color indexed="81"/>
            <rFont val="Tahoma"/>
            <family val="2"/>
          </rPr>
          <t>opa:</t>
        </r>
        <r>
          <rPr>
            <sz val="10"/>
            <color indexed="81"/>
            <rFont val="Tahoma"/>
            <family val="2"/>
          </rPr>
          <t xml:space="preserve">
charge type 0193</t>
        </r>
      </text>
    </comment>
    <comment ref="P6" authorId="0" shapeId="0">
      <text>
        <r>
          <rPr>
            <b/>
            <sz val="10"/>
            <color indexed="81"/>
            <rFont val="Tahoma"/>
            <family val="2"/>
          </rPr>
          <t>opa:</t>
        </r>
        <r>
          <rPr>
            <sz val="10"/>
            <color indexed="81"/>
            <rFont val="Tahoma"/>
            <family val="2"/>
          </rPr>
          <t xml:space="preserve">
charge types 0194, 0195</t>
        </r>
      </text>
    </comment>
    <comment ref="Q6" authorId="0" shapeId="0">
      <text>
        <r>
          <rPr>
            <b/>
            <sz val="10"/>
            <color indexed="81"/>
            <rFont val="Tahoma"/>
            <family val="2"/>
          </rPr>
          <t>opa:</t>
        </r>
        <r>
          <rPr>
            <sz val="10"/>
            <color indexed="81"/>
            <rFont val="Tahoma"/>
            <family val="2"/>
          </rPr>
          <t xml:space="preserve">
charge types 0194, 0195</t>
        </r>
      </text>
    </comment>
    <comment ref="R6" authorId="0" shapeId="0">
      <text>
        <r>
          <rPr>
            <b/>
            <sz val="10"/>
            <color indexed="81"/>
            <rFont val="Tahoma"/>
            <family val="2"/>
          </rPr>
          <t>opa:</t>
        </r>
        <r>
          <rPr>
            <sz val="10"/>
            <color indexed="81"/>
            <rFont val="Tahoma"/>
            <family val="2"/>
          </rPr>
          <t xml:space="preserve">
charge types 0194, 0195</t>
        </r>
      </text>
    </comment>
    <comment ref="S6" authorId="0" shapeId="0">
      <text>
        <r>
          <rPr>
            <b/>
            <sz val="10"/>
            <color indexed="81"/>
            <rFont val="Tahoma"/>
            <family val="2"/>
          </rPr>
          <t>opa:</t>
        </r>
        <r>
          <rPr>
            <sz val="10"/>
            <color indexed="81"/>
            <rFont val="Tahoma"/>
            <family val="2"/>
          </rPr>
          <t xml:space="preserve">
charge types 0194, 0195</t>
        </r>
      </text>
    </comment>
    <comment ref="T6" authorId="0" shapeId="0">
      <text>
        <r>
          <rPr>
            <b/>
            <sz val="10"/>
            <color indexed="81"/>
            <rFont val="Tahoma"/>
            <family val="2"/>
          </rPr>
          <t>opa:</t>
        </r>
        <r>
          <rPr>
            <sz val="10"/>
            <color indexed="81"/>
            <rFont val="Tahoma"/>
            <family val="2"/>
          </rPr>
          <t xml:space="preserve">
charge types 0194, 0195</t>
        </r>
      </text>
    </comment>
    <comment ref="U6" authorId="0" shapeId="0">
      <text>
        <r>
          <rPr>
            <b/>
            <sz val="10"/>
            <color indexed="81"/>
            <rFont val="Tahoma"/>
            <family val="2"/>
          </rPr>
          <t>opa:</t>
        </r>
        <r>
          <rPr>
            <sz val="10"/>
            <color indexed="81"/>
            <rFont val="Tahoma"/>
            <family val="2"/>
          </rPr>
          <t xml:space="preserve">
charge types 0194, 0195</t>
        </r>
      </text>
    </comment>
    <comment ref="V6" authorId="0" shapeId="0">
      <text>
        <r>
          <rPr>
            <b/>
            <sz val="10"/>
            <color indexed="81"/>
            <rFont val="Tahoma"/>
            <family val="2"/>
          </rPr>
          <t>opa:</t>
        </r>
        <r>
          <rPr>
            <sz val="10"/>
            <color indexed="81"/>
            <rFont val="Tahoma"/>
            <family val="2"/>
          </rPr>
          <t xml:space="preserve">
charge types 0194, 0195</t>
        </r>
      </text>
    </comment>
    <comment ref="W6" authorId="0" shapeId="0">
      <text>
        <r>
          <rPr>
            <b/>
            <sz val="10"/>
            <color indexed="81"/>
            <rFont val="Tahoma"/>
            <family val="2"/>
          </rPr>
          <t>opa:</t>
        </r>
        <r>
          <rPr>
            <sz val="10"/>
            <color indexed="81"/>
            <rFont val="Tahoma"/>
            <family val="2"/>
          </rPr>
          <t xml:space="preserve">
charge types 0194, 0195</t>
        </r>
      </text>
    </comment>
    <comment ref="X6" authorId="0" shapeId="0">
      <text>
        <r>
          <rPr>
            <b/>
            <sz val="10"/>
            <color indexed="81"/>
            <rFont val="Tahoma"/>
            <family val="2"/>
          </rPr>
          <t>opa:</t>
        </r>
        <r>
          <rPr>
            <sz val="10"/>
            <color indexed="81"/>
            <rFont val="Tahoma"/>
            <family val="2"/>
          </rPr>
          <t xml:space="preserve">
charge types 0194, 0195</t>
        </r>
      </text>
    </comment>
    <comment ref="Y6" authorId="0" shapeId="0">
      <text>
        <r>
          <rPr>
            <b/>
            <sz val="10"/>
            <color indexed="81"/>
            <rFont val="Tahoma"/>
            <family val="2"/>
          </rPr>
          <t>opa:</t>
        </r>
        <r>
          <rPr>
            <sz val="10"/>
            <color indexed="81"/>
            <rFont val="Tahoma"/>
            <family val="2"/>
          </rPr>
          <t xml:space="preserve">
charge types 0194, 0195</t>
        </r>
      </text>
    </comment>
    <comment ref="Z6" authorId="0" shapeId="0">
      <text>
        <r>
          <rPr>
            <b/>
            <sz val="10"/>
            <color indexed="81"/>
            <rFont val="Tahoma"/>
            <family val="2"/>
          </rPr>
          <t>opa:</t>
        </r>
        <r>
          <rPr>
            <sz val="10"/>
            <color indexed="81"/>
            <rFont val="Tahoma"/>
            <family val="2"/>
          </rPr>
          <t xml:space="preserve">
charge types 0194, 0195</t>
        </r>
      </text>
    </comment>
    <comment ref="AA6" authorId="0" shapeId="0">
      <text>
        <r>
          <rPr>
            <b/>
            <sz val="10"/>
            <color indexed="81"/>
            <rFont val="Tahoma"/>
            <family val="2"/>
          </rPr>
          <t>opa:</t>
        </r>
        <r>
          <rPr>
            <sz val="10"/>
            <color indexed="81"/>
            <rFont val="Tahoma"/>
            <family val="2"/>
          </rPr>
          <t xml:space="preserve">
charge types 0194, 0195</t>
        </r>
      </text>
    </comment>
    <comment ref="AB6" authorId="0" shapeId="0">
      <text>
        <r>
          <rPr>
            <b/>
            <sz val="10"/>
            <color indexed="81"/>
            <rFont val="Tahoma"/>
            <family val="2"/>
          </rPr>
          <t>opa:</t>
        </r>
        <r>
          <rPr>
            <sz val="10"/>
            <color indexed="81"/>
            <rFont val="Tahoma"/>
            <family val="2"/>
          </rPr>
          <t xml:space="preserve">
charge types 0194, 0195</t>
        </r>
      </text>
    </comment>
    <comment ref="AC6" authorId="0" shapeId="0">
      <text>
        <r>
          <rPr>
            <b/>
            <sz val="10"/>
            <color indexed="81"/>
            <rFont val="Tahoma"/>
            <family val="2"/>
          </rPr>
          <t>opa:</t>
        </r>
        <r>
          <rPr>
            <sz val="10"/>
            <color indexed="81"/>
            <rFont val="Tahoma"/>
            <family val="2"/>
          </rPr>
          <t xml:space="preserve">
charge types 0194, 0195</t>
        </r>
      </text>
    </comment>
    <comment ref="BL6" authorId="1" shapeId="0">
      <text>
        <r>
          <rPr>
            <b/>
            <sz val="10"/>
            <color indexed="81"/>
            <rFont val="Tahoma"/>
            <family val="2"/>
          </rPr>
          <t>Alefiya Jivajee:</t>
        </r>
        <r>
          <rPr>
            <sz val="10"/>
            <color indexed="81"/>
            <rFont val="Tahoma"/>
            <family val="2"/>
          </rPr>
          <t xml:space="preserve">
Reported number on the IESO website is 127.7. The difference is due to a delayed adjustment for January, which showed up on the February invoice. Response received from IESO: "The OPG amount for January was revised on May 15 from $125.1 to $127.7 million (please note that Terry Gabriele at the OPA is aware of this as there was communication between Terry and our settlements group). This revision was required to correct the January amount for an adjustment that was processed on Feb 27 for the January 31 final settlement statement, after the posting of January GA data which occurred on February 14. The IESO inadvertently failed to update the January data on the website until May 15. It would appear that you are including the adjustment amount in your February data, but the adjustment does apply to January."</t>
        </r>
      </text>
    </comment>
    <comment ref="BM6" authorId="1" shapeId="0">
      <text>
        <r>
          <rPr>
            <b/>
            <sz val="10"/>
            <color indexed="81"/>
            <rFont val="Tahoma"/>
            <family val="2"/>
          </rPr>
          <t>Alefiya Jivajee:</t>
        </r>
        <r>
          <rPr>
            <sz val="10"/>
            <color indexed="81"/>
            <rFont val="Tahoma"/>
            <family val="2"/>
          </rPr>
          <t xml:space="preserve">
Reported number on the IESO website is 106.4. Explanation is same as that in January.</t>
        </r>
      </text>
    </comment>
    <comment ref="BS6" authorId="1" shapeId="0">
      <text>
        <r>
          <rPr>
            <b/>
            <sz val="10"/>
            <color indexed="81"/>
            <rFont val="Tahoma"/>
            <family val="2"/>
          </rPr>
          <t>Alefiya Jivajee:</t>
        </r>
        <r>
          <rPr>
            <sz val="10"/>
            <color indexed="81"/>
            <rFont val="Tahoma"/>
            <family val="2"/>
          </rPr>
          <t xml:space="preserve">
The amount published on the IESO website is lower by $65k. This adjustment applies to the month of July, not to the invoice month.  There was a change in the settlement amount between preliminary and final, so the OPA saw this amount on their final settlement statement for July 31 .  The amount is included in OPA’s invoice for August—note that the August invoice includes all changes between preliminary and final for July. [As per IESO Customer Relations]</t>
        </r>
      </text>
    </comment>
    <comment ref="P7" authorId="0" shapeId="0">
      <text>
        <r>
          <rPr>
            <b/>
            <sz val="10"/>
            <color indexed="81"/>
            <rFont val="Tahoma"/>
            <family val="2"/>
          </rPr>
          <t>opa:</t>
        </r>
        <r>
          <rPr>
            <sz val="10"/>
            <color indexed="81"/>
            <rFont val="Tahoma"/>
            <family val="2"/>
          </rPr>
          <t xml:space="preserve">
charge types 1450, 1460, 1390 to 1396 (DR3)</t>
        </r>
      </text>
    </comment>
    <comment ref="Q7" authorId="0" shapeId="0">
      <text>
        <r>
          <rPr>
            <b/>
            <sz val="10"/>
            <color indexed="81"/>
            <rFont val="Tahoma"/>
            <family val="2"/>
          </rPr>
          <t>opa:</t>
        </r>
        <r>
          <rPr>
            <sz val="10"/>
            <color indexed="81"/>
            <rFont val="Tahoma"/>
            <family val="2"/>
          </rPr>
          <t xml:space="preserve">
charge types 1450, 1460, 1390 to 1396 (DR3)</t>
        </r>
      </text>
    </comment>
    <comment ref="R7" authorId="0" shapeId="0">
      <text>
        <r>
          <rPr>
            <b/>
            <sz val="10"/>
            <color indexed="81"/>
            <rFont val="Tahoma"/>
            <family val="2"/>
          </rPr>
          <t>opa:</t>
        </r>
        <r>
          <rPr>
            <sz val="10"/>
            <color indexed="81"/>
            <rFont val="Tahoma"/>
            <family val="2"/>
          </rPr>
          <t xml:space="preserve">
charge types 1450, 1460, 1390 to 1396 (DR3)</t>
        </r>
      </text>
    </comment>
    <comment ref="S7" authorId="0" shapeId="0">
      <text>
        <r>
          <rPr>
            <b/>
            <sz val="10"/>
            <color indexed="81"/>
            <rFont val="Tahoma"/>
            <family val="2"/>
          </rPr>
          <t>opa:</t>
        </r>
        <r>
          <rPr>
            <sz val="10"/>
            <color indexed="81"/>
            <rFont val="Tahoma"/>
            <family val="2"/>
          </rPr>
          <t xml:space="preserve">
charge types 1450, 1460, 1390 to 1396 (DR3)</t>
        </r>
      </text>
    </comment>
    <comment ref="T7" authorId="0" shapeId="0">
      <text>
        <r>
          <rPr>
            <b/>
            <sz val="10"/>
            <color indexed="81"/>
            <rFont val="Tahoma"/>
            <family val="2"/>
          </rPr>
          <t>opa:</t>
        </r>
        <r>
          <rPr>
            <sz val="10"/>
            <color indexed="81"/>
            <rFont val="Tahoma"/>
            <family val="2"/>
          </rPr>
          <t xml:space="preserve">
charge types 1450, 1460, 1390 to 1396 (DR3)</t>
        </r>
      </text>
    </comment>
    <comment ref="U7" authorId="0" shapeId="0">
      <text>
        <r>
          <rPr>
            <b/>
            <sz val="10"/>
            <color indexed="81"/>
            <rFont val="Tahoma"/>
            <family val="2"/>
          </rPr>
          <t>opa:</t>
        </r>
        <r>
          <rPr>
            <sz val="10"/>
            <color indexed="81"/>
            <rFont val="Tahoma"/>
            <family val="2"/>
          </rPr>
          <t xml:space="preserve">
charge types 1450, 1460, 1390 to 1396 (DR3)</t>
        </r>
      </text>
    </comment>
    <comment ref="V7" authorId="0" shapeId="0">
      <text>
        <r>
          <rPr>
            <b/>
            <sz val="10"/>
            <color indexed="81"/>
            <rFont val="Tahoma"/>
            <family val="2"/>
          </rPr>
          <t>opa:</t>
        </r>
        <r>
          <rPr>
            <sz val="10"/>
            <color indexed="81"/>
            <rFont val="Tahoma"/>
            <family val="2"/>
          </rPr>
          <t xml:space="preserve">
charge types 1450, 1460, 1390 to 1396 (DR3)</t>
        </r>
      </text>
    </comment>
    <comment ref="W7" authorId="0" shapeId="0">
      <text>
        <r>
          <rPr>
            <b/>
            <sz val="10"/>
            <color indexed="81"/>
            <rFont val="Tahoma"/>
            <family val="2"/>
          </rPr>
          <t>opa:</t>
        </r>
        <r>
          <rPr>
            <sz val="10"/>
            <color indexed="81"/>
            <rFont val="Tahoma"/>
            <family val="2"/>
          </rPr>
          <t xml:space="preserve">
charge types 1450, 1460, 1390 to 1396 (DR3)</t>
        </r>
      </text>
    </comment>
    <comment ref="X7" authorId="0" shapeId="0">
      <text>
        <r>
          <rPr>
            <b/>
            <sz val="10"/>
            <color indexed="81"/>
            <rFont val="Tahoma"/>
            <family val="2"/>
          </rPr>
          <t>opa:</t>
        </r>
        <r>
          <rPr>
            <sz val="10"/>
            <color indexed="81"/>
            <rFont val="Tahoma"/>
            <family val="2"/>
          </rPr>
          <t xml:space="preserve">
charge types 1450, 1460, 1390 to 1396 (DR3)</t>
        </r>
      </text>
    </comment>
    <comment ref="Y7" authorId="0" shapeId="0">
      <text>
        <r>
          <rPr>
            <b/>
            <sz val="10"/>
            <color indexed="81"/>
            <rFont val="Tahoma"/>
            <family val="2"/>
          </rPr>
          <t>opa:</t>
        </r>
        <r>
          <rPr>
            <sz val="10"/>
            <color indexed="81"/>
            <rFont val="Tahoma"/>
            <family val="2"/>
          </rPr>
          <t xml:space="preserve">
charge types 1450, 1460, 1390 to 1396 (DR3)</t>
        </r>
      </text>
    </comment>
    <comment ref="Z7" authorId="0" shapeId="0">
      <text>
        <r>
          <rPr>
            <b/>
            <sz val="10"/>
            <color indexed="81"/>
            <rFont val="Tahoma"/>
            <family val="2"/>
          </rPr>
          <t>opa:</t>
        </r>
        <r>
          <rPr>
            <sz val="10"/>
            <color indexed="81"/>
            <rFont val="Tahoma"/>
            <family val="2"/>
          </rPr>
          <t xml:space="preserve">
charge types 1450, 1460, 1390 to 1396 (DR3)</t>
        </r>
      </text>
    </comment>
    <comment ref="AA7" authorId="0" shapeId="0">
      <text>
        <r>
          <rPr>
            <b/>
            <sz val="10"/>
            <color indexed="81"/>
            <rFont val="Tahoma"/>
            <family val="2"/>
          </rPr>
          <t>opa:</t>
        </r>
        <r>
          <rPr>
            <sz val="10"/>
            <color indexed="81"/>
            <rFont val="Tahoma"/>
            <family val="2"/>
          </rPr>
          <t xml:space="preserve">
charge types 1450, 1460, 1390 to 1396 (DR3)</t>
        </r>
      </text>
    </comment>
    <comment ref="AB7" authorId="0" shapeId="0">
      <text>
        <r>
          <rPr>
            <b/>
            <sz val="10"/>
            <color indexed="81"/>
            <rFont val="Tahoma"/>
            <family val="2"/>
          </rPr>
          <t>opa:</t>
        </r>
        <r>
          <rPr>
            <sz val="10"/>
            <color indexed="81"/>
            <rFont val="Tahoma"/>
            <family val="2"/>
          </rPr>
          <t xml:space="preserve">
charge types 1450, 1460, 1380 to 1396 (DR3)</t>
        </r>
      </text>
    </comment>
    <comment ref="AC7" authorId="0" shapeId="0">
      <text>
        <r>
          <rPr>
            <b/>
            <sz val="10"/>
            <color indexed="81"/>
            <rFont val="Tahoma"/>
            <family val="2"/>
          </rPr>
          <t>opa:</t>
        </r>
        <r>
          <rPr>
            <sz val="10"/>
            <color indexed="81"/>
            <rFont val="Tahoma"/>
            <family val="2"/>
          </rPr>
          <t xml:space="preserve">
charge types 1450, 1460, 1380 to 1396 (DR3), 1462, 1464</t>
        </r>
      </text>
    </comment>
    <comment ref="BQ7" authorId="1" shapeId="0">
      <text>
        <r>
          <rPr>
            <b/>
            <sz val="10"/>
            <color indexed="81"/>
            <rFont val="Tahoma"/>
            <family val="2"/>
          </rPr>
          <t>Alefiya Jivajee:</t>
        </r>
        <r>
          <rPr>
            <sz val="10"/>
            <color indexed="81"/>
            <rFont val="Tahoma"/>
            <family val="2"/>
          </rPr>
          <t xml:space="preserve">
The amount published on IESO is $473M. It is higher by $1.2 M, which is for conservation and demand management (CDM) programs approved by the OEB, specifically Powerstream’s fixed costs. [As per IESO Customer Relations]</t>
        </r>
      </text>
    </comment>
    <comment ref="Q8" authorId="0" shapeId="0">
      <text>
        <r>
          <rPr>
            <b/>
            <sz val="10"/>
            <color indexed="81"/>
            <rFont val="Tahoma"/>
            <family val="2"/>
          </rPr>
          <t>opa:</t>
        </r>
        <r>
          <rPr>
            <sz val="10"/>
            <color indexed="81"/>
            <rFont val="Tahoma"/>
            <family val="2"/>
          </rPr>
          <t xml:space="preserve">
sum should equal global adjustment amount - charge type 0196 on IESO invoice.</t>
        </r>
      </text>
    </comment>
    <comment ref="R8" authorId="0" shapeId="0">
      <text>
        <r>
          <rPr>
            <b/>
            <sz val="10"/>
            <color indexed="81"/>
            <rFont val="Tahoma"/>
            <family val="2"/>
          </rPr>
          <t>opa:</t>
        </r>
        <r>
          <rPr>
            <sz val="10"/>
            <color indexed="81"/>
            <rFont val="Tahoma"/>
            <family val="2"/>
          </rPr>
          <t xml:space="preserve">
sum should equal global adjustment amount - charge type 0196 on IESO invoice.</t>
        </r>
      </text>
    </comment>
    <comment ref="S8" authorId="0" shapeId="0">
      <text>
        <r>
          <rPr>
            <b/>
            <sz val="10"/>
            <color indexed="81"/>
            <rFont val="Tahoma"/>
            <family val="2"/>
          </rPr>
          <t>opa:</t>
        </r>
        <r>
          <rPr>
            <sz val="10"/>
            <color indexed="81"/>
            <rFont val="Tahoma"/>
            <family val="2"/>
          </rPr>
          <t xml:space="preserve">
sum should equal global adjustment amount - charge type 0196 on IESO invoice.</t>
        </r>
      </text>
    </comment>
    <comment ref="T8" authorId="0" shapeId="0">
      <text>
        <r>
          <rPr>
            <b/>
            <sz val="10"/>
            <color indexed="81"/>
            <rFont val="Tahoma"/>
            <family val="2"/>
          </rPr>
          <t>opa:</t>
        </r>
        <r>
          <rPr>
            <sz val="10"/>
            <color indexed="81"/>
            <rFont val="Tahoma"/>
            <family val="2"/>
          </rPr>
          <t xml:space="preserve">
sum should equal global adjustment amount - charge type 0196 on IESO invoice.</t>
        </r>
      </text>
    </comment>
    <comment ref="U8" authorId="0" shapeId="0">
      <text>
        <r>
          <rPr>
            <b/>
            <sz val="10"/>
            <color indexed="81"/>
            <rFont val="Tahoma"/>
            <family val="2"/>
          </rPr>
          <t>opa:</t>
        </r>
        <r>
          <rPr>
            <sz val="10"/>
            <color indexed="81"/>
            <rFont val="Tahoma"/>
            <family val="2"/>
          </rPr>
          <t xml:space="preserve">
sum should equal global adjustment amount - charge type 0196 on IESO invoice.</t>
        </r>
      </text>
    </comment>
    <comment ref="V8" authorId="0" shapeId="0">
      <text>
        <r>
          <rPr>
            <b/>
            <sz val="10"/>
            <color indexed="81"/>
            <rFont val="Tahoma"/>
            <family val="2"/>
          </rPr>
          <t>opa:</t>
        </r>
        <r>
          <rPr>
            <sz val="10"/>
            <color indexed="81"/>
            <rFont val="Tahoma"/>
            <family val="2"/>
          </rPr>
          <t xml:space="preserve">
sum should equal global adjustment amount - charge type 0196 on IESO invoice.</t>
        </r>
      </text>
    </comment>
    <comment ref="W8" authorId="0" shapeId="0">
      <text>
        <r>
          <rPr>
            <b/>
            <sz val="10"/>
            <color indexed="81"/>
            <rFont val="Tahoma"/>
            <family val="2"/>
          </rPr>
          <t>opa:</t>
        </r>
        <r>
          <rPr>
            <sz val="10"/>
            <color indexed="81"/>
            <rFont val="Tahoma"/>
            <family val="2"/>
          </rPr>
          <t xml:space="preserve">
sum should equal global adjustment amount - charge type 0196 on IESO invoice.</t>
        </r>
      </text>
    </comment>
    <comment ref="X8" authorId="0" shapeId="0">
      <text>
        <r>
          <rPr>
            <b/>
            <sz val="10"/>
            <color indexed="81"/>
            <rFont val="Tahoma"/>
            <family val="2"/>
          </rPr>
          <t>opa:</t>
        </r>
        <r>
          <rPr>
            <sz val="10"/>
            <color indexed="81"/>
            <rFont val="Tahoma"/>
            <family val="2"/>
          </rPr>
          <t xml:space="preserve">
sum should equal global adjustment amount - charge type 0196 on IESO invoice.</t>
        </r>
      </text>
    </comment>
    <comment ref="Y8" authorId="0" shapeId="0">
      <text>
        <r>
          <rPr>
            <b/>
            <sz val="10"/>
            <color indexed="81"/>
            <rFont val="Tahoma"/>
            <family val="2"/>
          </rPr>
          <t>opa:</t>
        </r>
        <r>
          <rPr>
            <sz val="10"/>
            <color indexed="81"/>
            <rFont val="Tahoma"/>
            <family val="2"/>
          </rPr>
          <t xml:space="preserve">
sum should equal global adjustment amount - charge type 0196 on IESO invoice.</t>
        </r>
      </text>
    </comment>
    <comment ref="Z8" authorId="0" shapeId="0">
      <text>
        <r>
          <rPr>
            <b/>
            <sz val="10"/>
            <color indexed="81"/>
            <rFont val="Tahoma"/>
            <family val="2"/>
          </rPr>
          <t>opa:</t>
        </r>
        <r>
          <rPr>
            <sz val="10"/>
            <color indexed="81"/>
            <rFont val="Tahoma"/>
            <family val="2"/>
          </rPr>
          <t xml:space="preserve">
sum should equal global adjustment amount - charge type 0196 on IESO invoice.</t>
        </r>
      </text>
    </comment>
    <comment ref="AA8" authorId="0" shapeId="0">
      <text>
        <r>
          <rPr>
            <b/>
            <sz val="10"/>
            <color indexed="81"/>
            <rFont val="Tahoma"/>
            <family val="2"/>
          </rPr>
          <t>opa:</t>
        </r>
        <r>
          <rPr>
            <sz val="10"/>
            <color indexed="81"/>
            <rFont val="Tahoma"/>
            <family val="2"/>
          </rPr>
          <t xml:space="preserve">
sum should equal global adjustment amount - charge type 0196 on IESO invoice.</t>
        </r>
      </text>
    </comment>
    <comment ref="AB8" authorId="0" shapeId="0">
      <text>
        <r>
          <rPr>
            <b/>
            <sz val="10"/>
            <color indexed="81"/>
            <rFont val="Tahoma"/>
            <family val="2"/>
          </rPr>
          <t>opa:</t>
        </r>
        <r>
          <rPr>
            <sz val="10"/>
            <color indexed="81"/>
            <rFont val="Tahoma"/>
            <family val="2"/>
          </rPr>
          <t xml:space="preserve">
sum should equal global adjustment amount - charge type 0196 on IESO invoice.</t>
        </r>
      </text>
    </comment>
    <comment ref="AC8" authorId="0" shapeId="0">
      <text>
        <r>
          <rPr>
            <b/>
            <sz val="10"/>
            <color indexed="81"/>
            <rFont val="Tahoma"/>
            <family val="2"/>
          </rPr>
          <t>opa:</t>
        </r>
        <r>
          <rPr>
            <sz val="10"/>
            <color indexed="81"/>
            <rFont val="Tahoma"/>
            <family val="2"/>
          </rPr>
          <t xml:space="preserve">
sum should equal global adjustment amount - charge type 0196 on IESO invoice.</t>
        </r>
      </text>
    </comment>
    <comment ref="AD8" authorId="0" shapeId="0">
      <text>
        <r>
          <rPr>
            <b/>
            <sz val="10"/>
            <color indexed="81"/>
            <rFont val="Tahoma"/>
            <family val="2"/>
          </rPr>
          <t>opa:</t>
        </r>
        <r>
          <rPr>
            <sz val="10"/>
            <color indexed="81"/>
            <rFont val="Tahoma"/>
            <family val="2"/>
          </rPr>
          <t xml:space="preserve">
sum should equal global adjustment amount - charge type 0196 on IESO invoice.</t>
        </r>
      </text>
    </comment>
    <comment ref="CR8" authorId="0" shapeId="0">
      <text>
        <r>
          <rPr>
            <b/>
            <sz val="10"/>
            <color indexed="81"/>
            <rFont val="Tahoma"/>
            <family val="2"/>
          </rPr>
          <t>opa:</t>
        </r>
        <r>
          <rPr>
            <sz val="10"/>
            <color indexed="81"/>
            <rFont val="Tahoma"/>
            <family val="2"/>
          </rPr>
          <t xml:space="preserve">
calculate 11 month cumulative of charge 0196 to ensure this is the correct total.</t>
        </r>
      </text>
    </comment>
    <comment ref="CS8" authorId="0" shapeId="0">
      <text>
        <r>
          <rPr>
            <b/>
            <sz val="10"/>
            <color indexed="81"/>
            <rFont val="Tahoma"/>
            <family val="2"/>
          </rPr>
          <t>opa:</t>
        </r>
        <r>
          <rPr>
            <sz val="10"/>
            <color indexed="81"/>
            <rFont val="Tahoma"/>
            <family val="2"/>
          </rPr>
          <t xml:space="preserve">
calculate 11 month cumulative of charge 0196 to ensure this is the correct total.</t>
        </r>
      </text>
    </comment>
    <comment ref="CT8" authorId="0" shapeId="0">
      <text>
        <r>
          <rPr>
            <b/>
            <sz val="10"/>
            <color indexed="81"/>
            <rFont val="Tahoma"/>
            <family val="2"/>
          </rPr>
          <t>opa:</t>
        </r>
        <r>
          <rPr>
            <sz val="10"/>
            <color indexed="81"/>
            <rFont val="Tahoma"/>
            <family val="2"/>
          </rPr>
          <t xml:space="preserve">
calculate 11 month cumulative of charge 0196 to ensure this is the correct total.</t>
        </r>
      </text>
    </comment>
    <comment ref="CU8" authorId="0" shapeId="0">
      <text>
        <r>
          <rPr>
            <b/>
            <sz val="10"/>
            <color indexed="81"/>
            <rFont val="Tahoma"/>
            <family val="2"/>
          </rPr>
          <t>opa:</t>
        </r>
        <r>
          <rPr>
            <sz val="10"/>
            <color indexed="81"/>
            <rFont val="Tahoma"/>
            <family val="2"/>
          </rPr>
          <t xml:space="preserve">
calculate 11 month cumulative of charge 0196 to ensure this is the correct total.</t>
        </r>
      </text>
    </comment>
    <comment ref="CV8" authorId="0" shapeId="0">
      <text>
        <r>
          <rPr>
            <b/>
            <sz val="10"/>
            <color indexed="81"/>
            <rFont val="Tahoma"/>
            <family val="2"/>
          </rPr>
          <t>opa:</t>
        </r>
        <r>
          <rPr>
            <sz val="10"/>
            <color indexed="81"/>
            <rFont val="Tahoma"/>
            <family val="2"/>
          </rPr>
          <t xml:space="preserve">
calculate 11 month cumulative of charge 0196 to ensure this is the correct total.</t>
        </r>
      </text>
    </comment>
    <comment ref="CW8" authorId="0" shapeId="0">
      <text>
        <r>
          <rPr>
            <b/>
            <sz val="10"/>
            <color indexed="81"/>
            <rFont val="Tahoma"/>
            <family val="2"/>
          </rPr>
          <t>opa:</t>
        </r>
        <r>
          <rPr>
            <sz val="10"/>
            <color indexed="81"/>
            <rFont val="Tahoma"/>
            <family val="2"/>
          </rPr>
          <t xml:space="preserve">
calculate 11 month cumulative of charge 0196 to ensure this is the correct total.</t>
        </r>
      </text>
    </comment>
    <comment ref="N10" authorId="0" shapeId="0">
      <text>
        <r>
          <rPr>
            <b/>
            <sz val="10"/>
            <color indexed="81"/>
            <rFont val="Tahoma"/>
            <family val="2"/>
          </rPr>
          <t>opa:</t>
        </r>
        <r>
          <rPr>
            <sz val="10"/>
            <color indexed="81"/>
            <rFont val="Tahoma"/>
            <family val="2"/>
          </rPr>
          <t xml:space="preserve">
http://www.ieso.ca/imoweb/pubs/marketReports/download/HOEPMonthlyAverages_20081203.csv</t>
        </r>
      </text>
    </comment>
    <comment ref="BL10" authorId="2" shapeId="0">
      <text>
        <r>
          <rPr>
            <b/>
            <sz val="9"/>
            <color indexed="81"/>
            <rFont val="Tahoma"/>
            <family val="2"/>
          </rPr>
          <t>susan.musei:</t>
        </r>
        <r>
          <rPr>
            <sz val="9"/>
            <color indexed="81"/>
            <rFont val="Tahoma"/>
            <family val="2"/>
          </rPr>
          <t xml:space="preserve">
HOEP - Weighted avg monthly #
</t>
        </r>
      </text>
    </comment>
    <comment ref="DD10" authorId="0" shapeId="0">
      <text>
        <r>
          <rPr>
            <b/>
            <sz val="10"/>
            <color indexed="81"/>
            <rFont val="Tahoma"/>
            <family val="2"/>
          </rPr>
          <t>opa:</t>
        </r>
        <r>
          <rPr>
            <sz val="10"/>
            <color indexed="81"/>
            <rFont val="Tahoma"/>
            <family val="2"/>
          </rPr>
          <t xml:space="preserve">
should agree to calculated amount above
</t>
        </r>
      </text>
    </comment>
    <comment ref="U27" authorId="0" shapeId="0">
      <text>
        <r>
          <rPr>
            <b/>
            <sz val="10"/>
            <color indexed="81"/>
            <rFont val="Tahoma"/>
            <family val="2"/>
          </rPr>
          <t>opa:</t>
        </r>
        <r>
          <rPr>
            <sz val="10"/>
            <color indexed="81"/>
            <rFont val="Tahoma"/>
            <family val="2"/>
          </rPr>
          <t xml:space="preserve">
reconcile this to 12-month total above.</t>
        </r>
      </text>
    </comment>
    <comment ref="V27" authorId="0" shapeId="0">
      <text>
        <r>
          <rPr>
            <b/>
            <sz val="10"/>
            <color indexed="81"/>
            <rFont val="Tahoma"/>
            <family val="2"/>
          </rPr>
          <t>opa:</t>
        </r>
        <r>
          <rPr>
            <sz val="10"/>
            <color indexed="81"/>
            <rFont val="Tahoma"/>
            <family val="2"/>
          </rPr>
          <t xml:space="preserve">
reconcile this to 12-month total above.</t>
        </r>
      </text>
    </comment>
    <comment ref="W27" authorId="0" shapeId="0">
      <text>
        <r>
          <rPr>
            <b/>
            <sz val="10"/>
            <color indexed="81"/>
            <rFont val="Tahoma"/>
            <family val="2"/>
          </rPr>
          <t>opa:</t>
        </r>
        <r>
          <rPr>
            <sz val="10"/>
            <color indexed="81"/>
            <rFont val="Tahoma"/>
            <family val="2"/>
          </rPr>
          <t xml:space="preserve">
reconcile this to 12-month total above.</t>
        </r>
      </text>
    </comment>
    <comment ref="X27" authorId="0" shapeId="0">
      <text>
        <r>
          <rPr>
            <b/>
            <sz val="10"/>
            <color indexed="81"/>
            <rFont val="Tahoma"/>
            <family val="2"/>
          </rPr>
          <t>opa:</t>
        </r>
        <r>
          <rPr>
            <sz val="10"/>
            <color indexed="81"/>
            <rFont val="Tahoma"/>
            <family val="2"/>
          </rPr>
          <t xml:space="preserve">
reconcile this to 12-month total above.</t>
        </r>
      </text>
    </comment>
    <comment ref="Y27" authorId="0" shapeId="0">
      <text>
        <r>
          <rPr>
            <b/>
            <sz val="10"/>
            <color indexed="81"/>
            <rFont val="Tahoma"/>
            <family val="2"/>
          </rPr>
          <t>opa:</t>
        </r>
        <r>
          <rPr>
            <sz val="10"/>
            <color indexed="81"/>
            <rFont val="Tahoma"/>
            <family val="2"/>
          </rPr>
          <t xml:space="preserve">
reconcile this to 12-month total above.</t>
        </r>
      </text>
    </comment>
    <comment ref="Z27" authorId="0" shapeId="0">
      <text>
        <r>
          <rPr>
            <b/>
            <sz val="10"/>
            <color indexed="81"/>
            <rFont val="Tahoma"/>
            <family val="2"/>
          </rPr>
          <t>opa:</t>
        </r>
        <r>
          <rPr>
            <sz val="10"/>
            <color indexed="81"/>
            <rFont val="Tahoma"/>
            <family val="2"/>
          </rPr>
          <t xml:space="preserve">
reconcile this to 12-month total above.</t>
        </r>
      </text>
    </comment>
    <comment ref="AA27" authorId="0" shapeId="0">
      <text>
        <r>
          <rPr>
            <b/>
            <sz val="10"/>
            <color indexed="81"/>
            <rFont val="Tahoma"/>
            <family val="2"/>
          </rPr>
          <t>opa:</t>
        </r>
        <r>
          <rPr>
            <sz val="10"/>
            <color indexed="81"/>
            <rFont val="Tahoma"/>
            <family val="2"/>
          </rPr>
          <t xml:space="preserve">
reconcile this to 12-month total above.</t>
        </r>
      </text>
    </comment>
    <comment ref="AB27" authorId="0" shapeId="0">
      <text>
        <r>
          <rPr>
            <b/>
            <sz val="10"/>
            <color indexed="81"/>
            <rFont val="Tahoma"/>
            <family val="2"/>
          </rPr>
          <t>opa:</t>
        </r>
        <r>
          <rPr>
            <sz val="10"/>
            <color indexed="81"/>
            <rFont val="Tahoma"/>
            <family val="2"/>
          </rPr>
          <t xml:space="preserve">
reconcile this to 12-month total above.</t>
        </r>
      </text>
    </comment>
    <comment ref="AC27" authorId="0" shapeId="0">
      <text>
        <r>
          <rPr>
            <b/>
            <sz val="10"/>
            <color indexed="81"/>
            <rFont val="Tahoma"/>
            <family val="2"/>
          </rPr>
          <t>opa:</t>
        </r>
        <r>
          <rPr>
            <sz val="10"/>
            <color indexed="81"/>
            <rFont val="Tahoma"/>
            <family val="2"/>
          </rPr>
          <t xml:space="preserve">
reconcile this to 12-month total above.</t>
        </r>
      </text>
    </comment>
    <comment ref="AD27" authorId="0" shapeId="0">
      <text>
        <r>
          <rPr>
            <b/>
            <sz val="10"/>
            <color indexed="81"/>
            <rFont val="Tahoma"/>
            <family val="2"/>
          </rPr>
          <t>opa:</t>
        </r>
        <r>
          <rPr>
            <sz val="10"/>
            <color indexed="81"/>
            <rFont val="Tahoma"/>
            <family val="2"/>
          </rPr>
          <t xml:space="preserve">
reconcile this to 12-month total above.</t>
        </r>
      </text>
    </comment>
    <comment ref="AE27" authorId="0" shapeId="0">
      <text>
        <r>
          <rPr>
            <b/>
            <sz val="10"/>
            <color indexed="81"/>
            <rFont val="Tahoma"/>
            <family val="2"/>
          </rPr>
          <t>opa:</t>
        </r>
        <r>
          <rPr>
            <sz val="10"/>
            <color indexed="81"/>
            <rFont val="Tahoma"/>
            <family val="2"/>
          </rPr>
          <t xml:space="preserve">
reconcile this to 12-month total above.</t>
        </r>
      </text>
    </comment>
    <comment ref="AF27" authorId="0" shapeId="0">
      <text>
        <r>
          <rPr>
            <b/>
            <sz val="10"/>
            <color indexed="81"/>
            <rFont val="Tahoma"/>
            <family val="2"/>
          </rPr>
          <t>opa:</t>
        </r>
        <r>
          <rPr>
            <sz val="10"/>
            <color indexed="81"/>
            <rFont val="Tahoma"/>
            <family val="2"/>
          </rPr>
          <t xml:space="preserve">
reconcile this to 12-month total above.</t>
        </r>
      </text>
    </comment>
    <comment ref="AG27" authorId="0" shapeId="0">
      <text>
        <r>
          <rPr>
            <b/>
            <sz val="10"/>
            <color indexed="81"/>
            <rFont val="Tahoma"/>
            <family val="2"/>
          </rPr>
          <t>opa:</t>
        </r>
        <r>
          <rPr>
            <sz val="10"/>
            <color indexed="81"/>
            <rFont val="Tahoma"/>
            <family val="2"/>
          </rPr>
          <t xml:space="preserve">
reconcile this to 12-month total above.</t>
        </r>
      </text>
    </comment>
    <comment ref="AH27" authorId="0" shapeId="0">
      <text>
        <r>
          <rPr>
            <b/>
            <sz val="10"/>
            <color indexed="81"/>
            <rFont val="Tahoma"/>
            <family val="2"/>
          </rPr>
          <t>opa:</t>
        </r>
        <r>
          <rPr>
            <sz val="10"/>
            <color indexed="81"/>
            <rFont val="Tahoma"/>
            <family val="2"/>
          </rPr>
          <t xml:space="preserve">
reconcile this to 12-month total above.</t>
        </r>
      </text>
    </comment>
    <comment ref="AI27" authorId="0" shapeId="0">
      <text>
        <r>
          <rPr>
            <b/>
            <sz val="10"/>
            <color indexed="81"/>
            <rFont val="Tahoma"/>
            <family val="2"/>
          </rPr>
          <t>opa:</t>
        </r>
        <r>
          <rPr>
            <sz val="10"/>
            <color indexed="81"/>
            <rFont val="Tahoma"/>
            <family val="2"/>
          </rPr>
          <t xml:space="preserve">
reconcile this to 12-month total above.</t>
        </r>
      </text>
    </comment>
    <comment ref="AJ27" authorId="0" shapeId="0">
      <text>
        <r>
          <rPr>
            <b/>
            <sz val="10"/>
            <color indexed="81"/>
            <rFont val="Tahoma"/>
            <family val="2"/>
          </rPr>
          <t>opa:</t>
        </r>
        <r>
          <rPr>
            <sz val="10"/>
            <color indexed="81"/>
            <rFont val="Tahoma"/>
            <family val="2"/>
          </rPr>
          <t xml:space="preserve">
reconcile this to 12-month total above.</t>
        </r>
      </text>
    </comment>
    <comment ref="AK27" authorId="0" shapeId="0">
      <text>
        <r>
          <rPr>
            <b/>
            <sz val="10"/>
            <color indexed="81"/>
            <rFont val="Tahoma"/>
            <family val="2"/>
          </rPr>
          <t>opa:</t>
        </r>
        <r>
          <rPr>
            <sz val="10"/>
            <color indexed="81"/>
            <rFont val="Tahoma"/>
            <family val="2"/>
          </rPr>
          <t xml:space="preserve">
reconcile this to 12-month total above.</t>
        </r>
      </text>
    </comment>
    <comment ref="AL27" authorId="0" shapeId="0">
      <text>
        <r>
          <rPr>
            <b/>
            <sz val="10"/>
            <color indexed="81"/>
            <rFont val="Tahoma"/>
            <family val="2"/>
          </rPr>
          <t>opa:</t>
        </r>
        <r>
          <rPr>
            <sz val="10"/>
            <color indexed="81"/>
            <rFont val="Tahoma"/>
            <family val="2"/>
          </rPr>
          <t xml:space="preserve">
reconcile this to 12-month total above.</t>
        </r>
      </text>
    </comment>
    <comment ref="AM27" authorId="0" shapeId="0">
      <text>
        <r>
          <rPr>
            <b/>
            <sz val="10"/>
            <color indexed="81"/>
            <rFont val="Tahoma"/>
            <family val="2"/>
          </rPr>
          <t>opa:</t>
        </r>
        <r>
          <rPr>
            <sz val="10"/>
            <color indexed="81"/>
            <rFont val="Tahoma"/>
            <family val="2"/>
          </rPr>
          <t xml:space="preserve">
reconcile this to 12-month total above.</t>
        </r>
      </text>
    </comment>
    <comment ref="AN27" authorId="0" shapeId="0">
      <text>
        <r>
          <rPr>
            <b/>
            <sz val="10"/>
            <color indexed="81"/>
            <rFont val="Tahoma"/>
            <family val="2"/>
          </rPr>
          <t>opa:</t>
        </r>
        <r>
          <rPr>
            <sz val="10"/>
            <color indexed="81"/>
            <rFont val="Tahoma"/>
            <family val="2"/>
          </rPr>
          <t xml:space="preserve">
reconcile this to 12-month total above.</t>
        </r>
      </text>
    </comment>
    <comment ref="AO27" authorId="0" shapeId="0">
      <text>
        <r>
          <rPr>
            <b/>
            <sz val="10"/>
            <color indexed="81"/>
            <rFont val="Tahoma"/>
            <family val="2"/>
          </rPr>
          <t>opa:</t>
        </r>
        <r>
          <rPr>
            <sz val="10"/>
            <color indexed="81"/>
            <rFont val="Tahoma"/>
            <family val="2"/>
          </rPr>
          <t xml:space="preserve">
reconcile this to 12-month total above.</t>
        </r>
      </text>
    </comment>
    <comment ref="AP27" authorId="0" shapeId="0">
      <text>
        <r>
          <rPr>
            <b/>
            <sz val="10"/>
            <color indexed="81"/>
            <rFont val="Tahoma"/>
            <family val="2"/>
          </rPr>
          <t>opa:</t>
        </r>
        <r>
          <rPr>
            <sz val="10"/>
            <color indexed="81"/>
            <rFont val="Tahoma"/>
            <family val="2"/>
          </rPr>
          <t xml:space="preserve">
reconcile this to 12-month total above.</t>
        </r>
      </text>
    </comment>
    <comment ref="AQ27" authorId="0" shapeId="0">
      <text>
        <r>
          <rPr>
            <b/>
            <sz val="10"/>
            <color indexed="81"/>
            <rFont val="Tahoma"/>
            <family val="2"/>
          </rPr>
          <t>opa:</t>
        </r>
        <r>
          <rPr>
            <sz val="10"/>
            <color indexed="81"/>
            <rFont val="Tahoma"/>
            <family val="2"/>
          </rPr>
          <t xml:space="preserve">
reconcile this to 12-month total above.</t>
        </r>
      </text>
    </comment>
    <comment ref="AR27" authorId="0" shapeId="0">
      <text>
        <r>
          <rPr>
            <b/>
            <sz val="10"/>
            <color indexed="81"/>
            <rFont val="Tahoma"/>
            <family val="2"/>
          </rPr>
          <t>opa:</t>
        </r>
        <r>
          <rPr>
            <sz val="10"/>
            <color indexed="81"/>
            <rFont val="Tahoma"/>
            <family val="2"/>
          </rPr>
          <t xml:space="preserve">
reconcile this to 12-month total above.</t>
        </r>
      </text>
    </comment>
    <comment ref="AS27" authorId="0" shapeId="0">
      <text>
        <r>
          <rPr>
            <b/>
            <sz val="10"/>
            <color indexed="81"/>
            <rFont val="Tahoma"/>
            <family val="2"/>
          </rPr>
          <t>opa:</t>
        </r>
        <r>
          <rPr>
            <sz val="10"/>
            <color indexed="81"/>
            <rFont val="Tahoma"/>
            <family val="2"/>
          </rPr>
          <t xml:space="preserve">
reconcile this to 12-month total above.</t>
        </r>
      </text>
    </comment>
    <comment ref="AT27" authorId="0" shapeId="0">
      <text>
        <r>
          <rPr>
            <b/>
            <sz val="10"/>
            <color indexed="81"/>
            <rFont val="Tahoma"/>
            <family val="2"/>
          </rPr>
          <t>opa:</t>
        </r>
        <r>
          <rPr>
            <sz val="10"/>
            <color indexed="81"/>
            <rFont val="Tahoma"/>
            <family val="2"/>
          </rPr>
          <t xml:space="preserve">
reconcile this to 12-month total above.</t>
        </r>
      </text>
    </comment>
    <comment ref="AU27" authorId="0" shapeId="0">
      <text>
        <r>
          <rPr>
            <b/>
            <sz val="10"/>
            <color indexed="81"/>
            <rFont val="Tahoma"/>
            <family val="2"/>
          </rPr>
          <t>opa:</t>
        </r>
        <r>
          <rPr>
            <sz val="10"/>
            <color indexed="81"/>
            <rFont val="Tahoma"/>
            <family val="2"/>
          </rPr>
          <t xml:space="preserve">
reconcile this to 12-month total above.</t>
        </r>
      </text>
    </comment>
    <comment ref="AV27" authorId="0" shapeId="0">
      <text>
        <r>
          <rPr>
            <b/>
            <sz val="10"/>
            <color indexed="81"/>
            <rFont val="Tahoma"/>
            <family val="2"/>
          </rPr>
          <t>opa:</t>
        </r>
        <r>
          <rPr>
            <sz val="10"/>
            <color indexed="81"/>
            <rFont val="Tahoma"/>
            <family val="2"/>
          </rPr>
          <t xml:space="preserve">
reconcile this to 12-month total above.</t>
        </r>
      </text>
    </comment>
    <comment ref="AW27" authorId="0" shapeId="0">
      <text>
        <r>
          <rPr>
            <b/>
            <sz val="10"/>
            <color indexed="81"/>
            <rFont val="Tahoma"/>
            <family val="2"/>
          </rPr>
          <t>opa:</t>
        </r>
        <r>
          <rPr>
            <sz val="10"/>
            <color indexed="81"/>
            <rFont val="Tahoma"/>
            <family val="2"/>
          </rPr>
          <t xml:space="preserve">
reconcile this to 12-month total above.</t>
        </r>
      </text>
    </comment>
    <comment ref="AX27" authorId="0" shapeId="0">
      <text>
        <r>
          <rPr>
            <b/>
            <sz val="10"/>
            <color indexed="81"/>
            <rFont val="Tahoma"/>
            <family val="2"/>
          </rPr>
          <t>opa:</t>
        </r>
        <r>
          <rPr>
            <sz val="10"/>
            <color indexed="81"/>
            <rFont val="Tahoma"/>
            <family val="2"/>
          </rPr>
          <t xml:space="preserve">
reconcile this to 12-month total above.</t>
        </r>
      </text>
    </comment>
    <comment ref="AY27" authorId="0" shapeId="0">
      <text>
        <r>
          <rPr>
            <b/>
            <sz val="10"/>
            <color indexed="81"/>
            <rFont val="Tahoma"/>
            <family val="2"/>
          </rPr>
          <t>opa:</t>
        </r>
        <r>
          <rPr>
            <sz val="10"/>
            <color indexed="81"/>
            <rFont val="Tahoma"/>
            <family val="2"/>
          </rPr>
          <t xml:space="preserve">
reconcile this to 12-month total above.</t>
        </r>
      </text>
    </comment>
    <comment ref="AZ27" authorId="0" shapeId="0">
      <text>
        <r>
          <rPr>
            <b/>
            <sz val="10"/>
            <color indexed="81"/>
            <rFont val="Tahoma"/>
            <family val="2"/>
          </rPr>
          <t>opa:</t>
        </r>
        <r>
          <rPr>
            <sz val="10"/>
            <color indexed="81"/>
            <rFont val="Tahoma"/>
            <family val="2"/>
          </rPr>
          <t xml:space="preserve">
reconcile this to 12-month total above.</t>
        </r>
      </text>
    </comment>
    <comment ref="BA27" authorId="0" shapeId="0">
      <text>
        <r>
          <rPr>
            <b/>
            <sz val="10"/>
            <color indexed="81"/>
            <rFont val="Tahoma"/>
            <family val="2"/>
          </rPr>
          <t>opa:</t>
        </r>
        <r>
          <rPr>
            <sz val="10"/>
            <color indexed="81"/>
            <rFont val="Tahoma"/>
            <family val="2"/>
          </rPr>
          <t xml:space="preserve">
reconcile this to 12-month total above.</t>
        </r>
      </text>
    </comment>
    <comment ref="BB27" authorId="0" shapeId="0">
      <text>
        <r>
          <rPr>
            <b/>
            <sz val="10"/>
            <color indexed="81"/>
            <rFont val="Tahoma"/>
            <family val="2"/>
          </rPr>
          <t>opa:</t>
        </r>
        <r>
          <rPr>
            <sz val="10"/>
            <color indexed="81"/>
            <rFont val="Tahoma"/>
            <family val="2"/>
          </rPr>
          <t xml:space="preserve">
reconcile this to 12-month total above.</t>
        </r>
      </text>
    </comment>
    <comment ref="BC27" authorId="0" shapeId="0">
      <text>
        <r>
          <rPr>
            <b/>
            <sz val="10"/>
            <color indexed="81"/>
            <rFont val="Tahoma"/>
            <family val="2"/>
          </rPr>
          <t>opa:</t>
        </r>
        <r>
          <rPr>
            <sz val="10"/>
            <color indexed="81"/>
            <rFont val="Tahoma"/>
            <family val="2"/>
          </rPr>
          <t xml:space="preserve">
reconcile this to 12-month total above.</t>
        </r>
      </text>
    </comment>
    <comment ref="BD27" authorId="0" shapeId="0">
      <text>
        <r>
          <rPr>
            <b/>
            <sz val="10"/>
            <color indexed="81"/>
            <rFont val="Tahoma"/>
            <family val="2"/>
          </rPr>
          <t>opa:</t>
        </r>
        <r>
          <rPr>
            <sz val="10"/>
            <color indexed="81"/>
            <rFont val="Tahoma"/>
            <family val="2"/>
          </rPr>
          <t xml:space="preserve">
reconcile this to 12-month total above.</t>
        </r>
      </text>
    </comment>
    <comment ref="BE27" authorId="0" shapeId="0">
      <text>
        <r>
          <rPr>
            <b/>
            <sz val="10"/>
            <color indexed="81"/>
            <rFont val="Tahoma"/>
            <family val="2"/>
          </rPr>
          <t>opa:</t>
        </r>
        <r>
          <rPr>
            <sz val="10"/>
            <color indexed="81"/>
            <rFont val="Tahoma"/>
            <family val="2"/>
          </rPr>
          <t xml:space="preserve">
reconcile this to 12-month total above.</t>
        </r>
      </text>
    </comment>
    <comment ref="BF27" authorId="0" shapeId="0">
      <text>
        <r>
          <rPr>
            <b/>
            <sz val="10"/>
            <color indexed="81"/>
            <rFont val="Tahoma"/>
            <family val="2"/>
          </rPr>
          <t>opa:</t>
        </r>
        <r>
          <rPr>
            <sz val="10"/>
            <color indexed="81"/>
            <rFont val="Tahoma"/>
            <family val="2"/>
          </rPr>
          <t xml:space="preserve">
reconcile this to 12-month total above.</t>
        </r>
      </text>
    </comment>
    <comment ref="BG27" authorId="0" shapeId="0">
      <text>
        <r>
          <rPr>
            <b/>
            <sz val="10"/>
            <color indexed="81"/>
            <rFont val="Tahoma"/>
            <family val="2"/>
          </rPr>
          <t>opa:</t>
        </r>
        <r>
          <rPr>
            <sz val="10"/>
            <color indexed="81"/>
            <rFont val="Tahoma"/>
            <family val="2"/>
          </rPr>
          <t xml:space="preserve">
reconcile this to 12-month total above.</t>
        </r>
      </text>
    </comment>
    <comment ref="BH27" authorId="0" shapeId="0">
      <text>
        <r>
          <rPr>
            <b/>
            <sz val="10"/>
            <color indexed="81"/>
            <rFont val="Tahoma"/>
            <family val="2"/>
          </rPr>
          <t>opa:</t>
        </r>
        <r>
          <rPr>
            <sz val="10"/>
            <color indexed="81"/>
            <rFont val="Tahoma"/>
            <family val="2"/>
          </rPr>
          <t xml:space="preserve">
reconcile this to 12-month total above.</t>
        </r>
      </text>
    </comment>
  </commentList>
</comments>
</file>

<file path=xl/comments2.xml><?xml version="1.0" encoding="utf-8"?>
<comments xmlns="http://schemas.openxmlformats.org/spreadsheetml/2006/main">
  <authors>
    <author>opa</author>
    <author>Alefiya Jivajee</author>
    <author>susan.musei</author>
  </authors>
  <commentList>
    <comment ref="Q5" authorId="0" shapeId="0">
      <text>
        <r>
          <rPr>
            <b/>
            <sz val="10"/>
            <color indexed="81"/>
            <rFont val="Tahoma"/>
            <family val="2"/>
          </rPr>
          <t>opa:</t>
        </r>
        <r>
          <rPr>
            <sz val="10"/>
            <color indexed="81"/>
            <rFont val="Tahoma"/>
            <family val="2"/>
          </rPr>
          <t xml:space="preserve">
charge type 0193</t>
        </r>
      </text>
    </comment>
    <comment ref="R5" authorId="0" shapeId="0">
      <text>
        <r>
          <rPr>
            <b/>
            <sz val="10"/>
            <color indexed="81"/>
            <rFont val="Tahoma"/>
            <family val="2"/>
          </rPr>
          <t>opa:</t>
        </r>
        <r>
          <rPr>
            <sz val="10"/>
            <color indexed="81"/>
            <rFont val="Tahoma"/>
            <family val="2"/>
          </rPr>
          <t xml:space="preserve">
charge type 0193</t>
        </r>
      </text>
    </comment>
    <comment ref="S5" authorId="0" shapeId="0">
      <text>
        <r>
          <rPr>
            <b/>
            <sz val="10"/>
            <color indexed="81"/>
            <rFont val="Tahoma"/>
            <family val="2"/>
          </rPr>
          <t>opa:</t>
        </r>
        <r>
          <rPr>
            <sz val="10"/>
            <color indexed="81"/>
            <rFont val="Tahoma"/>
            <family val="2"/>
          </rPr>
          <t xml:space="preserve">
charge type 0193</t>
        </r>
      </text>
    </comment>
    <comment ref="T5" authorId="0" shapeId="0">
      <text>
        <r>
          <rPr>
            <b/>
            <sz val="10"/>
            <color indexed="81"/>
            <rFont val="Tahoma"/>
            <family val="2"/>
          </rPr>
          <t>opa:</t>
        </r>
        <r>
          <rPr>
            <sz val="10"/>
            <color indexed="81"/>
            <rFont val="Tahoma"/>
            <family val="2"/>
          </rPr>
          <t xml:space="preserve">
charge type 0193</t>
        </r>
      </text>
    </comment>
    <comment ref="U5" authorId="0" shapeId="0">
      <text>
        <r>
          <rPr>
            <b/>
            <sz val="10"/>
            <color indexed="81"/>
            <rFont val="Tahoma"/>
            <family val="2"/>
          </rPr>
          <t>opa:</t>
        </r>
        <r>
          <rPr>
            <sz val="10"/>
            <color indexed="81"/>
            <rFont val="Tahoma"/>
            <family val="2"/>
          </rPr>
          <t xml:space="preserve">
charge type 0193</t>
        </r>
      </text>
    </comment>
    <comment ref="V5" authorId="0" shapeId="0">
      <text>
        <r>
          <rPr>
            <b/>
            <sz val="10"/>
            <color indexed="81"/>
            <rFont val="Tahoma"/>
            <family val="2"/>
          </rPr>
          <t>opa:</t>
        </r>
        <r>
          <rPr>
            <sz val="10"/>
            <color indexed="81"/>
            <rFont val="Tahoma"/>
            <family val="2"/>
          </rPr>
          <t xml:space="preserve">
charge type 0193</t>
        </r>
      </text>
    </comment>
    <comment ref="W5" authorId="0" shapeId="0">
      <text>
        <r>
          <rPr>
            <b/>
            <sz val="10"/>
            <color indexed="81"/>
            <rFont val="Tahoma"/>
            <family val="2"/>
          </rPr>
          <t>opa:</t>
        </r>
        <r>
          <rPr>
            <sz val="10"/>
            <color indexed="81"/>
            <rFont val="Tahoma"/>
            <family val="2"/>
          </rPr>
          <t xml:space="preserve">
charge type 0193</t>
        </r>
      </text>
    </comment>
    <comment ref="X5" authorId="0" shapeId="0">
      <text>
        <r>
          <rPr>
            <b/>
            <sz val="10"/>
            <color indexed="81"/>
            <rFont val="Tahoma"/>
            <family val="2"/>
          </rPr>
          <t>opa:</t>
        </r>
        <r>
          <rPr>
            <sz val="10"/>
            <color indexed="81"/>
            <rFont val="Tahoma"/>
            <family val="2"/>
          </rPr>
          <t xml:space="preserve">
charge type 0193</t>
        </r>
      </text>
    </comment>
    <comment ref="Y5" authorId="0" shapeId="0">
      <text>
        <r>
          <rPr>
            <b/>
            <sz val="10"/>
            <color indexed="81"/>
            <rFont val="Tahoma"/>
            <family val="2"/>
          </rPr>
          <t>opa:</t>
        </r>
        <r>
          <rPr>
            <sz val="10"/>
            <color indexed="81"/>
            <rFont val="Tahoma"/>
            <family val="2"/>
          </rPr>
          <t xml:space="preserve">
charge type 0193</t>
        </r>
      </text>
    </comment>
    <comment ref="Z5" authorId="0" shapeId="0">
      <text>
        <r>
          <rPr>
            <b/>
            <sz val="10"/>
            <color indexed="81"/>
            <rFont val="Tahoma"/>
            <family val="2"/>
          </rPr>
          <t>opa:</t>
        </r>
        <r>
          <rPr>
            <sz val="10"/>
            <color indexed="81"/>
            <rFont val="Tahoma"/>
            <family val="2"/>
          </rPr>
          <t xml:space="preserve">
charge type 0193</t>
        </r>
      </text>
    </comment>
    <comment ref="AA5" authorId="0" shapeId="0">
      <text>
        <r>
          <rPr>
            <b/>
            <sz val="10"/>
            <color indexed="81"/>
            <rFont val="Tahoma"/>
            <family val="2"/>
          </rPr>
          <t>opa:</t>
        </r>
        <r>
          <rPr>
            <sz val="10"/>
            <color indexed="81"/>
            <rFont val="Tahoma"/>
            <family val="2"/>
          </rPr>
          <t xml:space="preserve">
charge type 0193</t>
        </r>
      </text>
    </comment>
    <comment ref="AB5" authorId="0" shapeId="0">
      <text>
        <r>
          <rPr>
            <b/>
            <sz val="10"/>
            <color indexed="81"/>
            <rFont val="Tahoma"/>
            <family val="2"/>
          </rPr>
          <t>opa:</t>
        </r>
        <r>
          <rPr>
            <sz val="10"/>
            <color indexed="81"/>
            <rFont val="Tahoma"/>
            <family val="2"/>
          </rPr>
          <t xml:space="preserve">
charge type 0193</t>
        </r>
      </text>
    </comment>
    <comment ref="AC5" authorId="0" shapeId="0">
      <text>
        <r>
          <rPr>
            <b/>
            <sz val="10"/>
            <color indexed="81"/>
            <rFont val="Tahoma"/>
            <family val="2"/>
          </rPr>
          <t>opa:</t>
        </r>
        <r>
          <rPr>
            <sz val="10"/>
            <color indexed="81"/>
            <rFont val="Tahoma"/>
            <family val="2"/>
          </rPr>
          <t xml:space="preserve">
charge type 0193</t>
        </r>
      </text>
    </comment>
    <comment ref="P6" authorId="0" shapeId="0">
      <text>
        <r>
          <rPr>
            <b/>
            <sz val="10"/>
            <color indexed="81"/>
            <rFont val="Tahoma"/>
            <family val="2"/>
          </rPr>
          <t>opa:</t>
        </r>
        <r>
          <rPr>
            <sz val="10"/>
            <color indexed="81"/>
            <rFont val="Tahoma"/>
            <family val="2"/>
          </rPr>
          <t xml:space="preserve">
charge types 0194, 0195</t>
        </r>
      </text>
    </comment>
    <comment ref="Q6" authorId="0" shapeId="0">
      <text>
        <r>
          <rPr>
            <b/>
            <sz val="10"/>
            <color indexed="81"/>
            <rFont val="Tahoma"/>
            <family val="2"/>
          </rPr>
          <t>opa:</t>
        </r>
        <r>
          <rPr>
            <sz val="10"/>
            <color indexed="81"/>
            <rFont val="Tahoma"/>
            <family val="2"/>
          </rPr>
          <t xml:space="preserve">
charge types 0194, 0195</t>
        </r>
      </text>
    </comment>
    <comment ref="R6" authorId="0" shapeId="0">
      <text>
        <r>
          <rPr>
            <b/>
            <sz val="10"/>
            <color indexed="81"/>
            <rFont val="Tahoma"/>
            <family val="2"/>
          </rPr>
          <t>opa:</t>
        </r>
        <r>
          <rPr>
            <sz val="10"/>
            <color indexed="81"/>
            <rFont val="Tahoma"/>
            <family val="2"/>
          </rPr>
          <t xml:space="preserve">
charge types 0194, 0195</t>
        </r>
      </text>
    </comment>
    <comment ref="S6" authorId="0" shapeId="0">
      <text>
        <r>
          <rPr>
            <b/>
            <sz val="10"/>
            <color indexed="81"/>
            <rFont val="Tahoma"/>
            <family val="2"/>
          </rPr>
          <t>opa:</t>
        </r>
        <r>
          <rPr>
            <sz val="10"/>
            <color indexed="81"/>
            <rFont val="Tahoma"/>
            <family val="2"/>
          </rPr>
          <t xml:space="preserve">
charge types 0194, 0195</t>
        </r>
      </text>
    </comment>
    <comment ref="T6" authorId="0" shapeId="0">
      <text>
        <r>
          <rPr>
            <b/>
            <sz val="10"/>
            <color indexed="81"/>
            <rFont val="Tahoma"/>
            <family val="2"/>
          </rPr>
          <t>opa:</t>
        </r>
        <r>
          <rPr>
            <sz val="10"/>
            <color indexed="81"/>
            <rFont val="Tahoma"/>
            <family val="2"/>
          </rPr>
          <t xml:space="preserve">
charge types 0194, 0195</t>
        </r>
      </text>
    </comment>
    <comment ref="U6" authorId="0" shapeId="0">
      <text>
        <r>
          <rPr>
            <b/>
            <sz val="10"/>
            <color indexed="81"/>
            <rFont val="Tahoma"/>
            <family val="2"/>
          </rPr>
          <t>opa:</t>
        </r>
        <r>
          <rPr>
            <sz val="10"/>
            <color indexed="81"/>
            <rFont val="Tahoma"/>
            <family val="2"/>
          </rPr>
          <t xml:space="preserve">
charge types 0194, 0195</t>
        </r>
      </text>
    </comment>
    <comment ref="V6" authorId="0" shapeId="0">
      <text>
        <r>
          <rPr>
            <b/>
            <sz val="10"/>
            <color indexed="81"/>
            <rFont val="Tahoma"/>
            <family val="2"/>
          </rPr>
          <t>opa:</t>
        </r>
        <r>
          <rPr>
            <sz val="10"/>
            <color indexed="81"/>
            <rFont val="Tahoma"/>
            <family val="2"/>
          </rPr>
          <t xml:space="preserve">
charge types 0194, 0195</t>
        </r>
      </text>
    </comment>
    <comment ref="W6" authorId="0" shapeId="0">
      <text>
        <r>
          <rPr>
            <b/>
            <sz val="10"/>
            <color indexed="81"/>
            <rFont val="Tahoma"/>
            <family val="2"/>
          </rPr>
          <t>opa:</t>
        </r>
        <r>
          <rPr>
            <sz val="10"/>
            <color indexed="81"/>
            <rFont val="Tahoma"/>
            <family val="2"/>
          </rPr>
          <t xml:space="preserve">
charge types 0194, 0195</t>
        </r>
      </text>
    </comment>
    <comment ref="X6" authorId="0" shapeId="0">
      <text>
        <r>
          <rPr>
            <b/>
            <sz val="10"/>
            <color indexed="81"/>
            <rFont val="Tahoma"/>
            <family val="2"/>
          </rPr>
          <t>opa:</t>
        </r>
        <r>
          <rPr>
            <sz val="10"/>
            <color indexed="81"/>
            <rFont val="Tahoma"/>
            <family val="2"/>
          </rPr>
          <t xml:space="preserve">
charge types 0194, 0195</t>
        </r>
      </text>
    </comment>
    <comment ref="Y6" authorId="0" shapeId="0">
      <text>
        <r>
          <rPr>
            <b/>
            <sz val="10"/>
            <color indexed="81"/>
            <rFont val="Tahoma"/>
            <family val="2"/>
          </rPr>
          <t>opa:</t>
        </r>
        <r>
          <rPr>
            <sz val="10"/>
            <color indexed="81"/>
            <rFont val="Tahoma"/>
            <family val="2"/>
          </rPr>
          <t xml:space="preserve">
charge types 0194, 0195</t>
        </r>
      </text>
    </comment>
    <comment ref="Z6" authorId="0" shapeId="0">
      <text>
        <r>
          <rPr>
            <b/>
            <sz val="10"/>
            <color indexed="81"/>
            <rFont val="Tahoma"/>
            <family val="2"/>
          </rPr>
          <t>opa:</t>
        </r>
        <r>
          <rPr>
            <sz val="10"/>
            <color indexed="81"/>
            <rFont val="Tahoma"/>
            <family val="2"/>
          </rPr>
          <t xml:space="preserve">
charge types 0194, 0195</t>
        </r>
      </text>
    </comment>
    <comment ref="AA6" authorId="0" shapeId="0">
      <text>
        <r>
          <rPr>
            <b/>
            <sz val="10"/>
            <color indexed="81"/>
            <rFont val="Tahoma"/>
            <family val="2"/>
          </rPr>
          <t>opa:</t>
        </r>
        <r>
          <rPr>
            <sz val="10"/>
            <color indexed="81"/>
            <rFont val="Tahoma"/>
            <family val="2"/>
          </rPr>
          <t xml:space="preserve">
charge types 0194, 0195</t>
        </r>
      </text>
    </comment>
    <comment ref="AB6" authorId="0" shapeId="0">
      <text>
        <r>
          <rPr>
            <b/>
            <sz val="10"/>
            <color indexed="81"/>
            <rFont val="Tahoma"/>
            <family val="2"/>
          </rPr>
          <t>opa:</t>
        </r>
        <r>
          <rPr>
            <sz val="10"/>
            <color indexed="81"/>
            <rFont val="Tahoma"/>
            <family val="2"/>
          </rPr>
          <t xml:space="preserve">
charge types 0194, 0195</t>
        </r>
      </text>
    </comment>
    <comment ref="AC6" authorId="0" shapeId="0">
      <text>
        <r>
          <rPr>
            <b/>
            <sz val="10"/>
            <color indexed="81"/>
            <rFont val="Tahoma"/>
            <family val="2"/>
          </rPr>
          <t>opa:</t>
        </r>
        <r>
          <rPr>
            <sz val="10"/>
            <color indexed="81"/>
            <rFont val="Tahoma"/>
            <family val="2"/>
          </rPr>
          <t xml:space="preserve">
charge types 0194, 0195</t>
        </r>
      </text>
    </comment>
    <comment ref="BL6" authorId="1" shapeId="0">
      <text>
        <r>
          <rPr>
            <b/>
            <sz val="10"/>
            <color indexed="81"/>
            <rFont val="Tahoma"/>
            <family val="2"/>
          </rPr>
          <t>Alefiya Jivajee:</t>
        </r>
        <r>
          <rPr>
            <sz val="10"/>
            <color indexed="81"/>
            <rFont val="Tahoma"/>
            <family val="2"/>
          </rPr>
          <t xml:space="preserve">
Reported number on the IESO website is 127.7. The difference is due to a delayed adjustment for January, which showed up on the February invoice. Response received from IESO: "The OPG amount for January was revised on May 15 from $125.1 to $127.7 million (please note that Terry Gabriele at the OPA is aware of this as there was communication between Terry and our settlements group). This revision was required to correct the January amount for an adjustment that was processed on Feb 27 for the January 31 final settlement statement, after the posting of January GA data which occurred on February 14. The IESO inadvertently failed to update the January data on the website until May 15. It would appear that you are including the adjustment amount in your February data, but the adjustment does apply to January."</t>
        </r>
      </text>
    </comment>
    <comment ref="BM6" authorId="1" shapeId="0">
      <text>
        <r>
          <rPr>
            <b/>
            <sz val="10"/>
            <color indexed="81"/>
            <rFont val="Tahoma"/>
            <family val="2"/>
          </rPr>
          <t>Alefiya Jivajee:</t>
        </r>
        <r>
          <rPr>
            <sz val="10"/>
            <color indexed="81"/>
            <rFont val="Tahoma"/>
            <family val="2"/>
          </rPr>
          <t xml:space="preserve">
Reported number on the IESO website is 106.4. Explanation is same as that in January.</t>
        </r>
      </text>
    </comment>
    <comment ref="BS6" authorId="1" shapeId="0">
      <text>
        <r>
          <rPr>
            <b/>
            <sz val="10"/>
            <color indexed="81"/>
            <rFont val="Tahoma"/>
            <family val="2"/>
          </rPr>
          <t>Alefiya Jivajee:</t>
        </r>
        <r>
          <rPr>
            <sz val="10"/>
            <color indexed="81"/>
            <rFont val="Tahoma"/>
            <family val="2"/>
          </rPr>
          <t xml:space="preserve">
The amount published on the IESO website is lower by $65k. This adjustment applies to the month of July, not to the invoice month.  There was a change in the settlement amount between preliminary and final, so the OPA saw this amount on their final settlement statement for July 31 .  The amount is included in OPA’s invoice for August—note that the August invoice includes all changes between preliminary and final for July. [As per IESO Customer Relations]</t>
        </r>
      </text>
    </comment>
    <comment ref="P7" authorId="0" shapeId="0">
      <text>
        <r>
          <rPr>
            <b/>
            <sz val="10"/>
            <color indexed="81"/>
            <rFont val="Tahoma"/>
            <family val="2"/>
          </rPr>
          <t>opa:</t>
        </r>
        <r>
          <rPr>
            <sz val="10"/>
            <color indexed="81"/>
            <rFont val="Tahoma"/>
            <family val="2"/>
          </rPr>
          <t xml:space="preserve">
charge types 1450, 1460, 1390 to 1396 (DR3)</t>
        </r>
      </text>
    </comment>
    <comment ref="Q7" authorId="0" shapeId="0">
      <text>
        <r>
          <rPr>
            <b/>
            <sz val="10"/>
            <color indexed="81"/>
            <rFont val="Tahoma"/>
            <family val="2"/>
          </rPr>
          <t>opa:</t>
        </r>
        <r>
          <rPr>
            <sz val="10"/>
            <color indexed="81"/>
            <rFont val="Tahoma"/>
            <family val="2"/>
          </rPr>
          <t xml:space="preserve">
charge types 1450, 1460, 1390 to 1396 (DR3)</t>
        </r>
      </text>
    </comment>
    <comment ref="R7" authorId="0" shapeId="0">
      <text>
        <r>
          <rPr>
            <b/>
            <sz val="10"/>
            <color indexed="81"/>
            <rFont val="Tahoma"/>
            <family val="2"/>
          </rPr>
          <t>opa:</t>
        </r>
        <r>
          <rPr>
            <sz val="10"/>
            <color indexed="81"/>
            <rFont val="Tahoma"/>
            <family val="2"/>
          </rPr>
          <t xml:space="preserve">
charge types 1450, 1460, 1390 to 1396 (DR3)</t>
        </r>
      </text>
    </comment>
    <comment ref="S7" authorId="0" shapeId="0">
      <text>
        <r>
          <rPr>
            <b/>
            <sz val="10"/>
            <color indexed="81"/>
            <rFont val="Tahoma"/>
            <family val="2"/>
          </rPr>
          <t>opa:</t>
        </r>
        <r>
          <rPr>
            <sz val="10"/>
            <color indexed="81"/>
            <rFont val="Tahoma"/>
            <family val="2"/>
          </rPr>
          <t xml:space="preserve">
charge types 1450, 1460, 1390 to 1396 (DR3)</t>
        </r>
      </text>
    </comment>
    <comment ref="T7" authorId="0" shapeId="0">
      <text>
        <r>
          <rPr>
            <b/>
            <sz val="10"/>
            <color indexed="81"/>
            <rFont val="Tahoma"/>
            <family val="2"/>
          </rPr>
          <t>opa:</t>
        </r>
        <r>
          <rPr>
            <sz val="10"/>
            <color indexed="81"/>
            <rFont val="Tahoma"/>
            <family val="2"/>
          </rPr>
          <t xml:space="preserve">
charge types 1450, 1460, 1390 to 1396 (DR3)</t>
        </r>
      </text>
    </comment>
    <comment ref="U7" authorId="0" shapeId="0">
      <text>
        <r>
          <rPr>
            <b/>
            <sz val="10"/>
            <color indexed="81"/>
            <rFont val="Tahoma"/>
            <family val="2"/>
          </rPr>
          <t>opa:</t>
        </r>
        <r>
          <rPr>
            <sz val="10"/>
            <color indexed="81"/>
            <rFont val="Tahoma"/>
            <family val="2"/>
          </rPr>
          <t xml:space="preserve">
charge types 1450, 1460, 1390 to 1396 (DR3)</t>
        </r>
      </text>
    </comment>
    <comment ref="V7" authorId="0" shapeId="0">
      <text>
        <r>
          <rPr>
            <b/>
            <sz val="10"/>
            <color indexed="81"/>
            <rFont val="Tahoma"/>
            <family val="2"/>
          </rPr>
          <t>opa:</t>
        </r>
        <r>
          <rPr>
            <sz val="10"/>
            <color indexed="81"/>
            <rFont val="Tahoma"/>
            <family val="2"/>
          </rPr>
          <t xml:space="preserve">
charge types 1450, 1460, 1390 to 1396 (DR3)</t>
        </r>
      </text>
    </comment>
    <comment ref="W7" authorId="0" shapeId="0">
      <text>
        <r>
          <rPr>
            <b/>
            <sz val="10"/>
            <color indexed="81"/>
            <rFont val="Tahoma"/>
            <family val="2"/>
          </rPr>
          <t>opa:</t>
        </r>
        <r>
          <rPr>
            <sz val="10"/>
            <color indexed="81"/>
            <rFont val="Tahoma"/>
            <family val="2"/>
          </rPr>
          <t xml:space="preserve">
charge types 1450, 1460, 1390 to 1396 (DR3)</t>
        </r>
      </text>
    </comment>
    <comment ref="X7" authorId="0" shapeId="0">
      <text>
        <r>
          <rPr>
            <b/>
            <sz val="10"/>
            <color indexed="81"/>
            <rFont val="Tahoma"/>
            <family val="2"/>
          </rPr>
          <t>opa:</t>
        </r>
        <r>
          <rPr>
            <sz val="10"/>
            <color indexed="81"/>
            <rFont val="Tahoma"/>
            <family val="2"/>
          </rPr>
          <t xml:space="preserve">
charge types 1450, 1460, 1390 to 1396 (DR3)</t>
        </r>
      </text>
    </comment>
    <comment ref="Y7" authorId="0" shapeId="0">
      <text>
        <r>
          <rPr>
            <b/>
            <sz val="10"/>
            <color indexed="81"/>
            <rFont val="Tahoma"/>
            <family val="2"/>
          </rPr>
          <t>opa:</t>
        </r>
        <r>
          <rPr>
            <sz val="10"/>
            <color indexed="81"/>
            <rFont val="Tahoma"/>
            <family val="2"/>
          </rPr>
          <t xml:space="preserve">
charge types 1450, 1460, 1390 to 1396 (DR3)</t>
        </r>
      </text>
    </comment>
    <comment ref="Z7" authorId="0" shapeId="0">
      <text>
        <r>
          <rPr>
            <b/>
            <sz val="10"/>
            <color indexed="81"/>
            <rFont val="Tahoma"/>
            <family val="2"/>
          </rPr>
          <t>opa:</t>
        </r>
        <r>
          <rPr>
            <sz val="10"/>
            <color indexed="81"/>
            <rFont val="Tahoma"/>
            <family val="2"/>
          </rPr>
          <t xml:space="preserve">
charge types 1450, 1460, 1390 to 1396 (DR3)</t>
        </r>
      </text>
    </comment>
    <comment ref="AA7" authorId="0" shapeId="0">
      <text>
        <r>
          <rPr>
            <b/>
            <sz val="10"/>
            <color indexed="81"/>
            <rFont val="Tahoma"/>
            <family val="2"/>
          </rPr>
          <t>opa:</t>
        </r>
        <r>
          <rPr>
            <sz val="10"/>
            <color indexed="81"/>
            <rFont val="Tahoma"/>
            <family val="2"/>
          </rPr>
          <t xml:space="preserve">
charge types 1450, 1460, 1390 to 1396 (DR3)</t>
        </r>
      </text>
    </comment>
    <comment ref="AB7" authorId="0" shapeId="0">
      <text>
        <r>
          <rPr>
            <b/>
            <sz val="10"/>
            <color indexed="81"/>
            <rFont val="Tahoma"/>
            <family val="2"/>
          </rPr>
          <t>opa:</t>
        </r>
        <r>
          <rPr>
            <sz val="10"/>
            <color indexed="81"/>
            <rFont val="Tahoma"/>
            <family val="2"/>
          </rPr>
          <t xml:space="preserve">
charge types 1450, 1460, 1380 to 1396 (DR3)</t>
        </r>
      </text>
    </comment>
    <comment ref="AC7" authorId="0" shapeId="0">
      <text>
        <r>
          <rPr>
            <b/>
            <sz val="10"/>
            <color indexed="81"/>
            <rFont val="Tahoma"/>
            <family val="2"/>
          </rPr>
          <t>opa:</t>
        </r>
        <r>
          <rPr>
            <sz val="10"/>
            <color indexed="81"/>
            <rFont val="Tahoma"/>
            <family val="2"/>
          </rPr>
          <t xml:space="preserve">
charge types 1450, 1460, 1380 to 1396 (DR3), 1462, 1464</t>
        </r>
      </text>
    </comment>
    <comment ref="BQ7" authorId="1" shapeId="0">
      <text>
        <r>
          <rPr>
            <b/>
            <sz val="10"/>
            <color indexed="81"/>
            <rFont val="Tahoma"/>
            <family val="2"/>
          </rPr>
          <t>Alefiya Jivajee:</t>
        </r>
        <r>
          <rPr>
            <sz val="10"/>
            <color indexed="81"/>
            <rFont val="Tahoma"/>
            <family val="2"/>
          </rPr>
          <t xml:space="preserve">
The amount published on IESO is $473M. It is higher by $1.2 M, which is for conservation and demand management (CDM) programs approved by the OEB, specifically Powerstream’s fixed costs. [As per IESO Customer Relations]</t>
        </r>
      </text>
    </comment>
    <comment ref="Q8" authorId="0" shapeId="0">
      <text>
        <r>
          <rPr>
            <b/>
            <sz val="10"/>
            <color indexed="81"/>
            <rFont val="Tahoma"/>
            <family val="2"/>
          </rPr>
          <t>opa:</t>
        </r>
        <r>
          <rPr>
            <sz val="10"/>
            <color indexed="81"/>
            <rFont val="Tahoma"/>
            <family val="2"/>
          </rPr>
          <t xml:space="preserve">
sum should equal global adjustment amount - charge type 0196 on IESO invoice.</t>
        </r>
      </text>
    </comment>
    <comment ref="R8" authorId="0" shapeId="0">
      <text>
        <r>
          <rPr>
            <b/>
            <sz val="10"/>
            <color indexed="81"/>
            <rFont val="Tahoma"/>
            <family val="2"/>
          </rPr>
          <t>opa:</t>
        </r>
        <r>
          <rPr>
            <sz val="10"/>
            <color indexed="81"/>
            <rFont val="Tahoma"/>
            <family val="2"/>
          </rPr>
          <t xml:space="preserve">
sum should equal global adjustment amount - charge type 0196 on IESO invoice.</t>
        </r>
      </text>
    </comment>
    <comment ref="S8" authorId="0" shapeId="0">
      <text>
        <r>
          <rPr>
            <b/>
            <sz val="10"/>
            <color indexed="81"/>
            <rFont val="Tahoma"/>
            <family val="2"/>
          </rPr>
          <t>opa:</t>
        </r>
        <r>
          <rPr>
            <sz val="10"/>
            <color indexed="81"/>
            <rFont val="Tahoma"/>
            <family val="2"/>
          </rPr>
          <t xml:space="preserve">
sum should equal global adjustment amount - charge type 0196 on IESO invoice.</t>
        </r>
      </text>
    </comment>
    <comment ref="T8" authorId="0" shapeId="0">
      <text>
        <r>
          <rPr>
            <b/>
            <sz val="10"/>
            <color indexed="81"/>
            <rFont val="Tahoma"/>
            <family val="2"/>
          </rPr>
          <t>opa:</t>
        </r>
        <r>
          <rPr>
            <sz val="10"/>
            <color indexed="81"/>
            <rFont val="Tahoma"/>
            <family val="2"/>
          </rPr>
          <t xml:space="preserve">
sum should equal global adjustment amount - charge type 0196 on IESO invoice.</t>
        </r>
      </text>
    </comment>
    <comment ref="U8" authorId="0" shapeId="0">
      <text>
        <r>
          <rPr>
            <b/>
            <sz val="10"/>
            <color indexed="81"/>
            <rFont val="Tahoma"/>
            <family val="2"/>
          </rPr>
          <t>opa:</t>
        </r>
        <r>
          <rPr>
            <sz val="10"/>
            <color indexed="81"/>
            <rFont val="Tahoma"/>
            <family val="2"/>
          </rPr>
          <t xml:space="preserve">
sum should equal global adjustment amount - charge type 0196 on IESO invoice.</t>
        </r>
      </text>
    </comment>
    <comment ref="V8" authorId="0" shapeId="0">
      <text>
        <r>
          <rPr>
            <b/>
            <sz val="10"/>
            <color indexed="81"/>
            <rFont val="Tahoma"/>
            <family val="2"/>
          </rPr>
          <t>opa:</t>
        </r>
        <r>
          <rPr>
            <sz val="10"/>
            <color indexed="81"/>
            <rFont val="Tahoma"/>
            <family val="2"/>
          </rPr>
          <t xml:space="preserve">
sum should equal global adjustment amount - charge type 0196 on IESO invoice.</t>
        </r>
      </text>
    </comment>
    <comment ref="W8" authorId="0" shapeId="0">
      <text>
        <r>
          <rPr>
            <b/>
            <sz val="10"/>
            <color indexed="81"/>
            <rFont val="Tahoma"/>
            <family val="2"/>
          </rPr>
          <t>opa:</t>
        </r>
        <r>
          <rPr>
            <sz val="10"/>
            <color indexed="81"/>
            <rFont val="Tahoma"/>
            <family val="2"/>
          </rPr>
          <t xml:space="preserve">
sum should equal global adjustment amount - charge type 0196 on IESO invoice.</t>
        </r>
      </text>
    </comment>
    <comment ref="X8" authorId="0" shapeId="0">
      <text>
        <r>
          <rPr>
            <b/>
            <sz val="10"/>
            <color indexed="81"/>
            <rFont val="Tahoma"/>
            <family val="2"/>
          </rPr>
          <t>opa:</t>
        </r>
        <r>
          <rPr>
            <sz val="10"/>
            <color indexed="81"/>
            <rFont val="Tahoma"/>
            <family val="2"/>
          </rPr>
          <t xml:space="preserve">
sum should equal global adjustment amount - charge type 0196 on IESO invoice.</t>
        </r>
      </text>
    </comment>
    <comment ref="Y8" authorId="0" shapeId="0">
      <text>
        <r>
          <rPr>
            <b/>
            <sz val="10"/>
            <color indexed="81"/>
            <rFont val="Tahoma"/>
            <family val="2"/>
          </rPr>
          <t>opa:</t>
        </r>
        <r>
          <rPr>
            <sz val="10"/>
            <color indexed="81"/>
            <rFont val="Tahoma"/>
            <family val="2"/>
          </rPr>
          <t xml:space="preserve">
sum should equal global adjustment amount - charge type 0196 on IESO invoice.</t>
        </r>
      </text>
    </comment>
    <comment ref="Z8" authorId="0" shapeId="0">
      <text>
        <r>
          <rPr>
            <b/>
            <sz val="10"/>
            <color indexed="81"/>
            <rFont val="Tahoma"/>
            <family val="2"/>
          </rPr>
          <t>opa:</t>
        </r>
        <r>
          <rPr>
            <sz val="10"/>
            <color indexed="81"/>
            <rFont val="Tahoma"/>
            <family val="2"/>
          </rPr>
          <t xml:space="preserve">
sum should equal global adjustment amount - charge type 0196 on IESO invoice.</t>
        </r>
      </text>
    </comment>
    <comment ref="AA8" authorId="0" shapeId="0">
      <text>
        <r>
          <rPr>
            <b/>
            <sz val="10"/>
            <color indexed="81"/>
            <rFont val="Tahoma"/>
            <family val="2"/>
          </rPr>
          <t>opa:</t>
        </r>
        <r>
          <rPr>
            <sz val="10"/>
            <color indexed="81"/>
            <rFont val="Tahoma"/>
            <family val="2"/>
          </rPr>
          <t xml:space="preserve">
sum should equal global adjustment amount - charge type 0196 on IESO invoice.</t>
        </r>
      </text>
    </comment>
    <comment ref="AB8" authorId="0" shapeId="0">
      <text>
        <r>
          <rPr>
            <b/>
            <sz val="10"/>
            <color indexed="81"/>
            <rFont val="Tahoma"/>
            <family val="2"/>
          </rPr>
          <t>opa:</t>
        </r>
        <r>
          <rPr>
            <sz val="10"/>
            <color indexed="81"/>
            <rFont val="Tahoma"/>
            <family val="2"/>
          </rPr>
          <t xml:space="preserve">
sum should equal global adjustment amount - charge type 0196 on IESO invoice.</t>
        </r>
      </text>
    </comment>
    <comment ref="AC8" authorId="0" shapeId="0">
      <text>
        <r>
          <rPr>
            <b/>
            <sz val="10"/>
            <color indexed="81"/>
            <rFont val="Tahoma"/>
            <family val="2"/>
          </rPr>
          <t>opa:</t>
        </r>
        <r>
          <rPr>
            <sz val="10"/>
            <color indexed="81"/>
            <rFont val="Tahoma"/>
            <family val="2"/>
          </rPr>
          <t xml:space="preserve">
sum should equal global adjustment amount - charge type 0196 on IESO invoice.</t>
        </r>
      </text>
    </comment>
    <comment ref="AD8" authorId="0" shapeId="0">
      <text>
        <r>
          <rPr>
            <b/>
            <sz val="10"/>
            <color indexed="81"/>
            <rFont val="Tahoma"/>
            <family val="2"/>
          </rPr>
          <t>opa:</t>
        </r>
        <r>
          <rPr>
            <sz val="10"/>
            <color indexed="81"/>
            <rFont val="Tahoma"/>
            <family val="2"/>
          </rPr>
          <t xml:space="preserve">
sum should equal global adjustment amount - charge type 0196 on IESO invoice.</t>
        </r>
      </text>
    </comment>
    <comment ref="CS8" authorId="0" shapeId="0">
      <text>
        <r>
          <rPr>
            <b/>
            <sz val="10"/>
            <color indexed="81"/>
            <rFont val="Tahoma"/>
            <family val="2"/>
          </rPr>
          <t>opa:</t>
        </r>
        <r>
          <rPr>
            <sz val="10"/>
            <color indexed="81"/>
            <rFont val="Tahoma"/>
            <family val="2"/>
          </rPr>
          <t xml:space="preserve">
calculate 11 month cumulative of charge 0196 to ensure this is the correct total.</t>
        </r>
      </text>
    </comment>
    <comment ref="CT8" authorId="0" shapeId="0">
      <text>
        <r>
          <rPr>
            <b/>
            <sz val="10"/>
            <color indexed="81"/>
            <rFont val="Tahoma"/>
            <family val="2"/>
          </rPr>
          <t>opa:</t>
        </r>
        <r>
          <rPr>
            <sz val="10"/>
            <color indexed="81"/>
            <rFont val="Tahoma"/>
            <family val="2"/>
          </rPr>
          <t xml:space="preserve">
calculate 11 month cumulative of charge 0196 to ensure this is the correct total.</t>
        </r>
      </text>
    </comment>
    <comment ref="CU8" authorId="0" shapeId="0">
      <text>
        <r>
          <rPr>
            <b/>
            <sz val="10"/>
            <color indexed="81"/>
            <rFont val="Tahoma"/>
            <family val="2"/>
          </rPr>
          <t>opa:</t>
        </r>
        <r>
          <rPr>
            <sz val="10"/>
            <color indexed="81"/>
            <rFont val="Tahoma"/>
            <family val="2"/>
          </rPr>
          <t xml:space="preserve">
calculate 11 month cumulative of charge 0196 to ensure this is the correct total.</t>
        </r>
      </text>
    </comment>
    <comment ref="CV8" authorId="0" shapeId="0">
      <text>
        <r>
          <rPr>
            <b/>
            <sz val="10"/>
            <color indexed="81"/>
            <rFont val="Tahoma"/>
            <family val="2"/>
          </rPr>
          <t>opa:</t>
        </r>
        <r>
          <rPr>
            <sz val="10"/>
            <color indexed="81"/>
            <rFont val="Tahoma"/>
            <family val="2"/>
          </rPr>
          <t xml:space="preserve">
calculate 11 month cumulative of charge 0196 to ensure this is the correct total.</t>
        </r>
      </text>
    </comment>
    <comment ref="CW8" authorId="0" shapeId="0">
      <text>
        <r>
          <rPr>
            <b/>
            <sz val="10"/>
            <color indexed="81"/>
            <rFont val="Tahoma"/>
            <family val="2"/>
          </rPr>
          <t>opa:</t>
        </r>
        <r>
          <rPr>
            <sz val="10"/>
            <color indexed="81"/>
            <rFont val="Tahoma"/>
            <family val="2"/>
          </rPr>
          <t xml:space="preserve">
calculate 11 month cumulative of charge 0196 to ensure this is the correct total.</t>
        </r>
      </text>
    </comment>
    <comment ref="CX8" authorId="0" shapeId="0">
      <text>
        <r>
          <rPr>
            <b/>
            <sz val="10"/>
            <color indexed="81"/>
            <rFont val="Tahoma"/>
            <family val="2"/>
          </rPr>
          <t>opa:</t>
        </r>
        <r>
          <rPr>
            <sz val="10"/>
            <color indexed="81"/>
            <rFont val="Tahoma"/>
            <family val="2"/>
          </rPr>
          <t xml:space="preserve">
calculate 11 month cumulative of charge 0196 to ensure this is the correct total.</t>
        </r>
      </text>
    </comment>
    <comment ref="N10" authorId="0" shapeId="0">
      <text>
        <r>
          <rPr>
            <b/>
            <sz val="10"/>
            <color indexed="81"/>
            <rFont val="Tahoma"/>
            <family val="2"/>
          </rPr>
          <t>opa:</t>
        </r>
        <r>
          <rPr>
            <sz val="10"/>
            <color indexed="81"/>
            <rFont val="Tahoma"/>
            <family val="2"/>
          </rPr>
          <t xml:space="preserve">
http://www.ieso.ca/imoweb/pubs/marketReports/download/HOEPMonthlyAverages_20081203.csv</t>
        </r>
      </text>
    </comment>
    <comment ref="BL10" authorId="2" shapeId="0">
      <text>
        <r>
          <rPr>
            <b/>
            <sz val="9"/>
            <color indexed="81"/>
            <rFont val="Tahoma"/>
            <family val="2"/>
          </rPr>
          <t>susan.musei:</t>
        </r>
        <r>
          <rPr>
            <sz val="9"/>
            <color indexed="81"/>
            <rFont val="Tahoma"/>
            <family val="2"/>
          </rPr>
          <t xml:space="preserve">
HOEP - Weighted avg monthly #
</t>
        </r>
      </text>
    </comment>
    <comment ref="DE10" authorId="0" shapeId="0">
      <text>
        <r>
          <rPr>
            <b/>
            <sz val="10"/>
            <color indexed="81"/>
            <rFont val="Tahoma"/>
            <family val="2"/>
          </rPr>
          <t>opa:</t>
        </r>
        <r>
          <rPr>
            <sz val="10"/>
            <color indexed="81"/>
            <rFont val="Tahoma"/>
            <family val="2"/>
          </rPr>
          <t xml:space="preserve">
should agree to calculated amount above
</t>
        </r>
      </text>
    </comment>
    <comment ref="U27" authorId="0" shapeId="0">
      <text>
        <r>
          <rPr>
            <b/>
            <sz val="10"/>
            <color indexed="81"/>
            <rFont val="Tahoma"/>
            <family val="2"/>
          </rPr>
          <t>opa:</t>
        </r>
        <r>
          <rPr>
            <sz val="10"/>
            <color indexed="81"/>
            <rFont val="Tahoma"/>
            <family val="2"/>
          </rPr>
          <t xml:space="preserve">
reconcile this to 12-month total above.</t>
        </r>
      </text>
    </comment>
    <comment ref="V27" authorId="0" shapeId="0">
      <text>
        <r>
          <rPr>
            <b/>
            <sz val="10"/>
            <color indexed="81"/>
            <rFont val="Tahoma"/>
            <family val="2"/>
          </rPr>
          <t>opa:</t>
        </r>
        <r>
          <rPr>
            <sz val="10"/>
            <color indexed="81"/>
            <rFont val="Tahoma"/>
            <family val="2"/>
          </rPr>
          <t xml:space="preserve">
reconcile this to 12-month total above.</t>
        </r>
      </text>
    </comment>
    <comment ref="W27" authorId="0" shapeId="0">
      <text>
        <r>
          <rPr>
            <b/>
            <sz val="10"/>
            <color indexed="81"/>
            <rFont val="Tahoma"/>
            <family val="2"/>
          </rPr>
          <t>opa:</t>
        </r>
        <r>
          <rPr>
            <sz val="10"/>
            <color indexed="81"/>
            <rFont val="Tahoma"/>
            <family val="2"/>
          </rPr>
          <t xml:space="preserve">
reconcile this to 12-month total above.</t>
        </r>
      </text>
    </comment>
    <comment ref="X27" authorId="0" shapeId="0">
      <text>
        <r>
          <rPr>
            <b/>
            <sz val="10"/>
            <color indexed="81"/>
            <rFont val="Tahoma"/>
            <family val="2"/>
          </rPr>
          <t>opa:</t>
        </r>
        <r>
          <rPr>
            <sz val="10"/>
            <color indexed="81"/>
            <rFont val="Tahoma"/>
            <family val="2"/>
          </rPr>
          <t xml:space="preserve">
reconcile this to 12-month total above.</t>
        </r>
      </text>
    </comment>
    <comment ref="Y27" authorId="0" shapeId="0">
      <text>
        <r>
          <rPr>
            <b/>
            <sz val="10"/>
            <color indexed="81"/>
            <rFont val="Tahoma"/>
            <family val="2"/>
          </rPr>
          <t>opa:</t>
        </r>
        <r>
          <rPr>
            <sz val="10"/>
            <color indexed="81"/>
            <rFont val="Tahoma"/>
            <family val="2"/>
          </rPr>
          <t xml:space="preserve">
reconcile this to 12-month total above.</t>
        </r>
      </text>
    </comment>
    <comment ref="Z27" authorId="0" shapeId="0">
      <text>
        <r>
          <rPr>
            <b/>
            <sz val="10"/>
            <color indexed="81"/>
            <rFont val="Tahoma"/>
            <family val="2"/>
          </rPr>
          <t>opa:</t>
        </r>
        <r>
          <rPr>
            <sz val="10"/>
            <color indexed="81"/>
            <rFont val="Tahoma"/>
            <family val="2"/>
          </rPr>
          <t xml:space="preserve">
reconcile this to 12-month total above.</t>
        </r>
      </text>
    </comment>
    <comment ref="AA27" authorId="0" shapeId="0">
      <text>
        <r>
          <rPr>
            <b/>
            <sz val="10"/>
            <color indexed="81"/>
            <rFont val="Tahoma"/>
            <family val="2"/>
          </rPr>
          <t>opa:</t>
        </r>
        <r>
          <rPr>
            <sz val="10"/>
            <color indexed="81"/>
            <rFont val="Tahoma"/>
            <family val="2"/>
          </rPr>
          <t xml:space="preserve">
reconcile this to 12-month total above.</t>
        </r>
      </text>
    </comment>
    <comment ref="AB27" authorId="0" shapeId="0">
      <text>
        <r>
          <rPr>
            <b/>
            <sz val="10"/>
            <color indexed="81"/>
            <rFont val="Tahoma"/>
            <family val="2"/>
          </rPr>
          <t>opa:</t>
        </r>
        <r>
          <rPr>
            <sz val="10"/>
            <color indexed="81"/>
            <rFont val="Tahoma"/>
            <family val="2"/>
          </rPr>
          <t xml:space="preserve">
reconcile this to 12-month total above.</t>
        </r>
      </text>
    </comment>
    <comment ref="AC27" authorId="0" shapeId="0">
      <text>
        <r>
          <rPr>
            <b/>
            <sz val="10"/>
            <color indexed="81"/>
            <rFont val="Tahoma"/>
            <family val="2"/>
          </rPr>
          <t>opa:</t>
        </r>
        <r>
          <rPr>
            <sz val="10"/>
            <color indexed="81"/>
            <rFont val="Tahoma"/>
            <family val="2"/>
          </rPr>
          <t xml:space="preserve">
reconcile this to 12-month total above.</t>
        </r>
      </text>
    </comment>
    <comment ref="AD27" authorId="0" shapeId="0">
      <text>
        <r>
          <rPr>
            <b/>
            <sz val="10"/>
            <color indexed="81"/>
            <rFont val="Tahoma"/>
            <family val="2"/>
          </rPr>
          <t>opa:</t>
        </r>
        <r>
          <rPr>
            <sz val="10"/>
            <color indexed="81"/>
            <rFont val="Tahoma"/>
            <family val="2"/>
          </rPr>
          <t xml:space="preserve">
reconcile this to 12-month total above.</t>
        </r>
      </text>
    </comment>
    <comment ref="AE27" authorId="0" shapeId="0">
      <text>
        <r>
          <rPr>
            <b/>
            <sz val="10"/>
            <color indexed="81"/>
            <rFont val="Tahoma"/>
            <family val="2"/>
          </rPr>
          <t>opa:</t>
        </r>
        <r>
          <rPr>
            <sz val="10"/>
            <color indexed="81"/>
            <rFont val="Tahoma"/>
            <family val="2"/>
          </rPr>
          <t xml:space="preserve">
reconcile this to 12-month total above.</t>
        </r>
      </text>
    </comment>
    <comment ref="AF27" authorId="0" shapeId="0">
      <text>
        <r>
          <rPr>
            <b/>
            <sz val="10"/>
            <color indexed="81"/>
            <rFont val="Tahoma"/>
            <family val="2"/>
          </rPr>
          <t>opa:</t>
        </r>
        <r>
          <rPr>
            <sz val="10"/>
            <color indexed="81"/>
            <rFont val="Tahoma"/>
            <family val="2"/>
          </rPr>
          <t xml:space="preserve">
reconcile this to 12-month total above.</t>
        </r>
      </text>
    </comment>
    <comment ref="AG27" authorId="0" shapeId="0">
      <text>
        <r>
          <rPr>
            <b/>
            <sz val="10"/>
            <color indexed="81"/>
            <rFont val="Tahoma"/>
            <family val="2"/>
          </rPr>
          <t>opa:</t>
        </r>
        <r>
          <rPr>
            <sz val="10"/>
            <color indexed="81"/>
            <rFont val="Tahoma"/>
            <family val="2"/>
          </rPr>
          <t xml:space="preserve">
reconcile this to 12-month total above.</t>
        </r>
      </text>
    </comment>
    <comment ref="AH27" authorId="0" shapeId="0">
      <text>
        <r>
          <rPr>
            <b/>
            <sz val="10"/>
            <color indexed="81"/>
            <rFont val="Tahoma"/>
            <family val="2"/>
          </rPr>
          <t>opa:</t>
        </r>
        <r>
          <rPr>
            <sz val="10"/>
            <color indexed="81"/>
            <rFont val="Tahoma"/>
            <family val="2"/>
          </rPr>
          <t xml:space="preserve">
reconcile this to 12-month total above.</t>
        </r>
      </text>
    </comment>
    <comment ref="AI27" authorId="0" shapeId="0">
      <text>
        <r>
          <rPr>
            <b/>
            <sz val="10"/>
            <color indexed="81"/>
            <rFont val="Tahoma"/>
            <family val="2"/>
          </rPr>
          <t>opa:</t>
        </r>
        <r>
          <rPr>
            <sz val="10"/>
            <color indexed="81"/>
            <rFont val="Tahoma"/>
            <family val="2"/>
          </rPr>
          <t xml:space="preserve">
reconcile this to 12-month total above.</t>
        </r>
      </text>
    </comment>
    <comment ref="AJ27" authorId="0" shapeId="0">
      <text>
        <r>
          <rPr>
            <b/>
            <sz val="10"/>
            <color indexed="81"/>
            <rFont val="Tahoma"/>
            <family val="2"/>
          </rPr>
          <t>opa:</t>
        </r>
        <r>
          <rPr>
            <sz val="10"/>
            <color indexed="81"/>
            <rFont val="Tahoma"/>
            <family val="2"/>
          </rPr>
          <t xml:space="preserve">
reconcile this to 12-month total above.</t>
        </r>
      </text>
    </comment>
    <comment ref="AK27" authorId="0" shapeId="0">
      <text>
        <r>
          <rPr>
            <b/>
            <sz val="10"/>
            <color indexed="81"/>
            <rFont val="Tahoma"/>
            <family val="2"/>
          </rPr>
          <t>opa:</t>
        </r>
        <r>
          <rPr>
            <sz val="10"/>
            <color indexed="81"/>
            <rFont val="Tahoma"/>
            <family val="2"/>
          </rPr>
          <t xml:space="preserve">
reconcile this to 12-month total above.</t>
        </r>
      </text>
    </comment>
    <comment ref="AL27" authorId="0" shapeId="0">
      <text>
        <r>
          <rPr>
            <b/>
            <sz val="10"/>
            <color indexed="81"/>
            <rFont val="Tahoma"/>
            <family val="2"/>
          </rPr>
          <t>opa:</t>
        </r>
        <r>
          <rPr>
            <sz val="10"/>
            <color indexed="81"/>
            <rFont val="Tahoma"/>
            <family val="2"/>
          </rPr>
          <t xml:space="preserve">
reconcile this to 12-month total above.</t>
        </r>
      </text>
    </comment>
    <comment ref="AM27" authorId="0" shapeId="0">
      <text>
        <r>
          <rPr>
            <b/>
            <sz val="10"/>
            <color indexed="81"/>
            <rFont val="Tahoma"/>
            <family val="2"/>
          </rPr>
          <t>opa:</t>
        </r>
        <r>
          <rPr>
            <sz val="10"/>
            <color indexed="81"/>
            <rFont val="Tahoma"/>
            <family val="2"/>
          </rPr>
          <t xml:space="preserve">
reconcile this to 12-month total above.</t>
        </r>
      </text>
    </comment>
    <comment ref="AN27" authorId="0" shapeId="0">
      <text>
        <r>
          <rPr>
            <b/>
            <sz val="10"/>
            <color indexed="81"/>
            <rFont val="Tahoma"/>
            <family val="2"/>
          </rPr>
          <t>opa:</t>
        </r>
        <r>
          <rPr>
            <sz val="10"/>
            <color indexed="81"/>
            <rFont val="Tahoma"/>
            <family val="2"/>
          </rPr>
          <t xml:space="preserve">
reconcile this to 12-month total above.</t>
        </r>
      </text>
    </comment>
    <comment ref="AO27" authorId="0" shapeId="0">
      <text>
        <r>
          <rPr>
            <b/>
            <sz val="10"/>
            <color indexed="81"/>
            <rFont val="Tahoma"/>
            <family val="2"/>
          </rPr>
          <t>opa:</t>
        </r>
        <r>
          <rPr>
            <sz val="10"/>
            <color indexed="81"/>
            <rFont val="Tahoma"/>
            <family val="2"/>
          </rPr>
          <t xml:space="preserve">
reconcile this to 12-month total above.</t>
        </r>
      </text>
    </comment>
    <comment ref="AP27" authorId="0" shapeId="0">
      <text>
        <r>
          <rPr>
            <b/>
            <sz val="10"/>
            <color indexed="81"/>
            <rFont val="Tahoma"/>
            <family val="2"/>
          </rPr>
          <t>opa:</t>
        </r>
        <r>
          <rPr>
            <sz val="10"/>
            <color indexed="81"/>
            <rFont val="Tahoma"/>
            <family val="2"/>
          </rPr>
          <t xml:space="preserve">
reconcile this to 12-month total above.</t>
        </r>
      </text>
    </comment>
    <comment ref="AQ27" authorId="0" shapeId="0">
      <text>
        <r>
          <rPr>
            <b/>
            <sz val="10"/>
            <color indexed="81"/>
            <rFont val="Tahoma"/>
            <family val="2"/>
          </rPr>
          <t>opa:</t>
        </r>
        <r>
          <rPr>
            <sz val="10"/>
            <color indexed="81"/>
            <rFont val="Tahoma"/>
            <family val="2"/>
          </rPr>
          <t xml:space="preserve">
reconcile this to 12-month total above.</t>
        </r>
      </text>
    </comment>
    <comment ref="AR27" authorId="0" shapeId="0">
      <text>
        <r>
          <rPr>
            <b/>
            <sz val="10"/>
            <color indexed="81"/>
            <rFont val="Tahoma"/>
            <family val="2"/>
          </rPr>
          <t>opa:</t>
        </r>
        <r>
          <rPr>
            <sz val="10"/>
            <color indexed="81"/>
            <rFont val="Tahoma"/>
            <family val="2"/>
          </rPr>
          <t xml:space="preserve">
reconcile this to 12-month total above.</t>
        </r>
      </text>
    </comment>
    <comment ref="AS27" authorId="0" shapeId="0">
      <text>
        <r>
          <rPr>
            <b/>
            <sz val="10"/>
            <color indexed="81"/>
            <rFont val="Tahoma"/>
            <family val="2"/>
          </rPr>
          <t>opa:</t>
        </r>
        <r>
          <rPr>
            <sz val="10"/>
            <color indexed="81"/>
            <rFont val="Tahoma"/>
            <family val="2"/>
          </rPr>
          <t xml:space="preserve">
reconcile this to 12-month total above.</t>
        </r>
      </text>
    </comment>
    <comment ref="AT27" authorId="0" shapeId="0">
      <text>
        <r>
          <rPr>
            <b/>
            <sz val="10"/>
            <color indexed="81"/>
            <rFont val="Tahoma"/>
            <family val="2"/>
          </rPr>
          <t>opa:</t>
        </r>
        <r>
          <rPr>
            <sz val="10"/>
            <color indexed="81"/>
            <rFont val="Tahoma"/>
            <family val="2"/>
          </rPr>
          <t xml:space="preserve">
reconcile this to 12-month total above.</t>
        </r>
      </text>
    </comment>
    <comment ref="AU27" authorId="0" shapeId="0">
      <text>
        <r>
          <rPr>
            <b/>
            <sz val="10"/>
            <color indexed="81"/>
            <rFont val="Tahoma"/>
            <family val="2"/>
          </rPr>
          <t>opa:</t>
        </r>
        <r>
          <rPr>
            <sz val="10"/>
            <color indexed="81"/>
            <rFont val="Tahoma"/>
            <family val="2"/>
          </rPr>
          <t xml:space="preserve">
reconcile this to 12-month total above.</t>
        </r>
      </text>
    </comment>
    <comment ref="AV27" authorId="0" shapeId="0">
      <text>
        <r>
          <rPr>
            <b/>
            <sz val="10"/>
            <color indexed="81"/>
            <rFont val="Tahoma"/>
            <family val="2"/>
          </rPr>
          <t>opa:</t>
        </r>
        <r>
          <rPr>
            <sz val="10"/>
            <color indexed="81"/>
            <rFont val="Tahoma"/>
            <family val="2"/>
          </rPr>
          <t xml:space="preserve">
reconcile this to 12-month total above.</t>
        </r>
      </text>
    </comment>
    <comment ref="AW27" authorId="0" shapeId="0">
      <text>
        <r>
          <rPr>
            <b/>
            <sz val="10"/>
            <color indexed="81"/>
            <rFont val="Tahoma"/>
            <family val="2"/>
          </rPr>
          <t>opa:</t>
        </r>
        <r>
          <rPr>
            <sz val="10"/>
            <color indexed="81"/>
            <rFont val="Tahoma"/>
            <family val="2"/>
          </rPr>
          <t xml:space="preserve">
reconcile this to 12-month total above.</t>
        </r>
      </text>
    </comment>
    <comment ref="AX27" authorId="0" shapeId="0">
      <text>
        <r>
          <rPr>
            <b/>
            <sz val="10"/>
            <color indexed="81"/>
            <rFont val="Tahoma"/>
            <family val="2"/>
          </rPr>
          <t>opa:</t>
        </r>
        <r>
          <rPr>
            <sz val="10"/>
            <color indexed="81"/>
            <rFont val="Tahoma"/>
            <family val="2"/>
          </rPr>
          <t xml:space="preserve">
reconcile this to 12-month total above.</t>
        </r>
      </text>
    </comment>
    <comment ref="AY27" authorId="0" shapeId="0">
      <text>
        <r>
          <rPr>
            <b/>
            <sz val="10"/>
            <color indexed="81"/>
            <rFont val="Tahoma"/>
            <family val="2"/>
          </rPr>
          <t>opa:</t>
        </r>
        <r>
          <rPr>
            <sz val="10"/>
            <color indexed="81"/>
            <rFont val="Tahoma"/>
            <family val="2"/>
          </rPr>
          <t xml:space="preserve">
reconcile this to 12-month total above.</t>
        </r>
      </text>
    </comment>
    <comment ref="AZ27" authorId="0" shapeId="0">
      <text>
        <r>
          <rPr>
            <b/>
            <sz val="10"/>
            <color indexed="81"/>
            <rFont val="Tahoma"/>
            <family val="2"/>
          </rPr>
          <t>opa:</t>
        </r>
        <r>
          <rPr>
            <sz val="10"/>
            <color indexed="81"/>
            <rFont val="Tahoma"/>
            <family val="2"/>
          </rPr>
          <t xml:space="preserve">
reconcile this to 12-month total above.</t>
        </r>
      </text>
    </comment>
    <comment ref="BA27" authorId="0" shapeId="0">
      <text>
        <r>
          <rPr>
            <b/>
            <sz val="10"/>
            <color indexed="81"/>
            <rFont val="Tahoma"/>
            <family val="2"/>
          </rPr>
          <t>opa:</t>
        </r>
        <r>
          <rPr>
            <sz val="10"/>
            <color indexed="81"/>
            <rFont val="Tahoma"/>
            <family val="2"/>
          </rPr>
          <t xml:space="preserve">
reconcile this to 12-month total above.</t>
        </r>
      </text>
    </comment>
    <comment ref="BB27" authorId="0" shapeId="0">
      <text>
        <r>
          <rPr>
            <b/>
            <sz val="10"/>
            <color indexed="81"/>
            <rFont val="Tahoma"/>
            <family val="2"/>
          </rPr>
          <t>opa:</t>
        </r>
        <r>
          <rPr>
            <sz val="10"/>
            <color indexed="81"/>
            <rFont val="Tahoma"/>
            <family val="2"/>
          </rPr>
          <t xml:space="preserve">
reconcile this to 12-month total above.</t>
        </r>
      </text>
    </comment>
    <comment ref="BC27" authorId="0" shapeId="0">
      <text>
        <r>
          <rPr>
            <b/>
            <sz val="10"/>
            <color indexed="81"/>
            <rFont val="Tahoma"/>
            <family val="2"/>
          </rPr>
          <t>opa:</t>
        </r>
        <r>
          <rPr>
            <sz val="10"/>
            <color indexed="81"/>
            <rFont val="Tahoma"/>
            <family val="2"/>
          </rPr>
          <t xml:space="preserve">
reconcile this to 12-month total above.</t>
        </r>
      </text>
    </comment>
    <comment ref="BD27" authorId="0" shapeId="0">
      <text>
        <r>
          <rPr>
            <b/>
            <sz val="10"/>
            <color indexed="81"/>
            <rFont val="Tahoma"/>
            <family val="2"/>
          </rPr>
          <t>opa:</t>
        </r>
        <r>
          <rPr>
            <sz val="10"/>
            <color indexed="81"/>
            <rFont val="Tahoma"/>
            <family val="2"/>
          </rPr>
          <t xml:space="preserve">
reconcile this to 12-month total above.</t>
        </r>
      </text>
    </comment>
    <comment ref="BE27" authorId="0" shapeId="0">
      <text>
        <r>
          <rPr>
            <b/>
            <sz val="10"/>
            <color indexed="81"/>
            <rFont val="Tahoma"/>
            <family val="2"/>
          </rPr>
          <t>opa:</t>
        </r>
        <r>
          <rPr>
            <sz val="10"/>
            <color indexed="81"/>
            <rFont val="Tahoma"/>
            <family val="2"/>
          </rPr>
          <t xml:space="preserve">
reconcile this to 12-month total above.</t>
        </r>
      </text>
    </comment>
    <comment ref="BF27" authorId="0" shapeId="0">
      <text>
        <r>
          <rPr>
            <b/>
            <sz val="10"/>
            <color indexed="81"/>
            <rFont val="Tahoma"/>
            <family val="2"/>
          </rPr>
          <t>opa:</t>
        </r>
        <r>
          <rPr>
            <sz val="10"/>
            <color indexed="81"/>
            <rFont val="Tahoma"/>
            <family val="2"/>
          </rPr>
          <t xml:space="preserve">
reconcile this to 12-month total above.</t>
        </r>
      </text>
    </comment>
    <comment ref="BG27" authorId="0" shapeId="0">
      <text>
        <r>
          <rPr>
            <b/>
            <sz val="10"/>
            <color indexed="81"/>
            <rFont val="Tahoma"/>
            <family val="2"/>
          </rPr>
          <t>opa:</t>
        </r>
        <r>
          <rPr>
            <sz val="10"/>
            <color indexed="81"/>
            <rFont val="Tahoma"/>
            <family val="2"/>
          </rPr>
          <t xml:space="preserve">
reconcile this to 12-month total above.</t>
        </r>
      </text>
    </comment>
    <comment ref="BH27" authorId="0" shapeId="0">
      <text>
        <r>
          <rPr>
            <b/>
            <sz val="10"/>
            <color indexed="81"/>
            <rFont val="Tahoma"/>
            <family val="2"/>
          </rPr>
          <t>opa:</t>
        </r>
        <r>
          <rPr>
            <sz val="10"/>
            <color indexed="81"/>
            <rFont val="Tahoma"/>
            <family val="2"/>
          </rPr>
          <t xml:space="preserve">
reconcile this to 12-month total above.</t>
        </r>
      </text>
    </comment>
  </commentList>
</comments>
</file>

<file path=xl/sharedStrings.xml><?xml version="1.0" encoding="utf-8"?>
<sst xmlns="http://schemas.openxmlformats.org/spreadsheetml/2006/main" count="672" uniqueCount="267">
  <si>
    <t>Values</t>
  </si>
  <si>
    <t>Row Labels</t>
  </si>
  <si>
    <t>Sum of Jan-13</t>
  </si>
  <si>
    <t>Sum of Feb-13</t>
  </si>
  <si>
    <t>Sum of Mar-13</t>
  </si>
  <si>
    <t>Sum of Apr-13</t>
  </si>
  <si>
    <t>Sum of May-13</t>
  </si>
  <si>
    <t>Sum of Jun-13</t>
  </si>
  <si>
    <t>Sum of Jul-13</t>
  </si>
  <si>
    <t>Sum of Aug-13</t>
  </si>
  <si>
    <t>Sum of Sep-13</t>
  </si>
  <si>
    <t>Sum of Oct-13</t>
  </si>
  <si>
    <t>Sum of Nov-13</t>
  </si>
  <si>
    <t>Biomass/landfill</t>
  </si>
  <si>
    <t>Conservation</t>
  </si>
  <si>
    <t>Hydro</t>
  </si>
  <si>
    <t>Natural gas</t>
  </si>
  <si>
    <t>Nuclear</t>
  </si>
  <si>
    <t>Others</t>
  </si>
  <si>
    <t>Wind</t>
  </si>
  <si>
    <t>FIT Other</t>
  </si>
  <si>
    <t>By-products</t>
  </si>
  <si>
    <t>Grand Total</t>
  </si>
  <si>
    <t>Type</t>
  </si>
  <si>
    <t>Renewables</t>
  </si>
  <si>
    <t>Total</t>
  </si>
  <si>
    <t>Feb'09</t>
  </si>
  <si>
    <t>Mar'09</t>
  </si>
  <si>
    <t>Apr'09</t>
  </si>
  <si>
    <t>May'09</t>
  </si>
  <si>
    <t>Jun'09</t>
  </si>
  <si>
    <t>Jul'09</t>
  </si>
  <si>
    <t>Aug'09</t>
  </si>
  <si>
    <t>Sept'09</t>
  </si>
  <si>
    <t>Oct'09</t>
  </si>
  <si>
    <t>Nov'09</t>
  </si>
  <si>
    <t>Dec'09</t>
  </si>
  <si>
    <t>Jan'10</t>
  </si>
  <si>
    <t>Feb'10</t>
  </si>
  <si>
    <t>Mar'10</t>
  </si>
  <si>
    <t>Apr'10</t>
  </si>
  <si>
    <t>May'10</t>
  </si>
  <si>
    <t>Jun'10</t>
  </si>
  <si>
    <t>Jul'10</t>
  </si>
  <si>
    <t>Aug'10</t>
  </si>
  <si>
    <t>Sept'10</t>
  </si>
  <si>
    <t>Oct'10</t>
  </si>
  <si>
    <t>Nov'10</t>
  </si>
  <si>
    <t>Dec'10</t>
  </si>
  <si>
    <t>Jan'11</t>
  </si>
  <si>
    <t>Feb'11</t>
  </si>
  <si>
    <t>Mar'11</t>
  </si>
  <si>
    <t>Apr'11</t>
  </si>
  <si>
    <t>May'11</t>
  </si>
  <si>
    <t>Jun'11</t>
  </si>
  <si>
    <t>Jul'11</t>
  </si>
  <si>
    <t>Aug'11</t>
  </si>
  <si>
    <t>Sept'11</t>
  </si>
  <si>
    <t>Oct'11</t>
  </si>
  <si>
    <t>Nov'11</t>
  </si>
  <si>
    <t>Dec'11</t>
  </si>
  <si>
    <t>Jan'12</t>
  </si>
  <si>
    <t>Feb'12</t>
  </si>
  <si>
    <t>Mar'12</t>
  </si>
  <si>
    <t>Apr'12</t>
  </si>
  <si>
    <t>May'12</t>
  </si>
  <si>
    <t>June'12</t>
  </si>
  <si>
    <t>July'12</t>
  </si>
  <si>
    <t>Aug'12</t>
  </si>
  <si>
    <t>Sept'12</t>
  </si>
  <si>
    <t>Oct'12</t>
  </si>
  <si>
    <t>Nov'12</t>
  </si>
  <si>
    <t>Dec'12</t>
  </si>
  <si>
    <t>Jan'13</t>
  </si>
  <si>
    <t>Feb'13</t>
  </si>
  <si>
    <t>Mar'13</t>
  </si>
  <si>
    <t>Apr'13</t>
  </si>
  <si>
    <t>May'13</t>
  </si>
  <si>
    <t>June'13</t>
  </si>
  <si>
    <t>July'13</t>
  </si>
  <si>
    <t>Aug'13</t>
  </si>
  <si>
    <t>Sep'13</t>
  </si>
  <si>
    <t>Oct'13</t>
  </si>
  <si>
    <t>Nov'13</t>
  </si>
  <si>
    <t>Ontario Electricity Financial Corporation - Non-Utility Generation</t>
  </si>
  <si>
    <t>Ontario Power Generation - Generation</t>
  </si>
  <si>
    <t>OPA Contracts</t>
  </si>
  <si>
    <t>Rolling 12-Month Cumulative</t>
  </si>
  <si>
    <t>Q1 2009</t>
  </si>
  <si>
    <t>Q2 2009</t>
  </si>
  <si>
    <t>Q3 2009</t>
  </si>
  <si>
    <t>Q4 2009</t>
  </si>
  <si>
    <t>Q1 2010</t>
  </si>
  <si>
    <t>Q2 2010</t>
  </si>
  <si>
    <t>Q3 2010</t>
  </si>
  <si>
    <t>Q4 2010</t>
  </si>
  <si>
    <t>Q1 2011</t>
  </si>
  <si>
    <t>Q2 2011</t>
  </si>
  <si>
    <t>Q3 2011</t>
  </si>
  <si>
    <t>Q4 2011</t>
  </si>
  <si>
    <t>Q1 2012</t>
  </si>
  <si>
    <t>Q2 2012</t>
  </si>
  <si>
    <t>Q3 2012</t>
  </si>
  <si>
    <t>Q4 2012</t>
  </si>
  <si>
    <t>Q1 2013</t>
  </si>
  <si>
    <t>Q2 2013</t>
  </si>
  <si>
    <t>Q3 2013</t>
  </si>
  <si>
    <t xml:space="preserve">Ontario Power Generation </t>
  </si>
  <si>
    <t>Jan 2009</t>
  </si>
  <si>
    <t>Jan 08-Dec 08</t>
  </si>
  <si>
    <t>Feb 2009</t>
  </si>
  <si>
    <t>Feb 08  - Jan 09</t>
  </si>
  <si>
    <t>Mar 2009</t>
  </si>
  <si>
    <t>GAM Cash Flows in $000's</t>
  </si>
  <si>
    <t>Always correct formula</t>
  </si>
  <si>
    <t>Oct 2007</t>
  </si>
  <si>
    <t>Nov 2007</t>
  </si>
  <si>
    <t>Dec 2007</t>
  </si>
  <si>
    <t>Jan 2008</t>
  </si>
  <si>
    <t>Feb 2008</t>
  </si>
  <si>
    <t>Apr 2008</t>
  </si>
  <si>
    <t>May 2008</t>
  </si>
  <si>
    <t>Jun 2008</t>
  </si>
  <si>
    <t>Jul 2008</t>
  </si>
  <si>
    <t>Aug 2008</t>
  </si>
  <si>
    <t>Sep 2008</t>
  </si>
  <si>
    <t>12 Month</t>
  </si>
  <si>
    <t>11-Month Cum Oct 06-Aug 07</t>
  </si>
  <si>
    <t>11-Month Cum Nov 06-Sep 07</t>
  </si>
  <si>
    <t>11-Month Cum Dec 06-Oct 07</t>
  </si>
  <si>
    <t>11-Month Cum Jan 07-Nov 07</t>
  </si>
  <si>
    <t>11-Month Cum Feb 07-Dec 07</t>
  </si>
  <si>
    <t>11-Month Cum Mar 07-Jan 08</t>
  </si>
  <si>
    <t>11-Month Cum Apr 07-Feb 08</t>
  </si>
  <si>
    <t>11-Month Cum May 07-Mar 08</t>
  </si>
  <si>
    <t>11-Month Cum Jun 07-Apr 08</t>
  </si>
  <si>
    <t>11-Month Cum Jul 07-May 08</t>
  </si>
  <si>
    <t>11-Month Cum Aug 07-Jun 08</t>
  </si>
  <si>
    <t>11-Month Cum Sep 07-Jul 08</t>
  </si>
  <si>
    <t>11-month cum. Oct.07 - Aug.08</t>
  </si>
  <si>
    <t>11-month cum. Nov.07 - Sept.08</t>
  </si>
  <si>
    <t>11-month cum Dec.07 - Oct.08</t>
  </si>
  <si>
    <t>11-month cum. Jan.08 - Nov.08</t>
  </si>
  <si>
    <t>11-month cum. Feb.08 - Dec.08</t>
  </si>
  <si>
    <t>11-month cum. Mar.08 - jan.09</t>
  </si>
  <si>
    <t>11-month cum. Apr.08 - Feb.09</t>
  </si>
  <si>
    <t>11-month cum May.08 - Mar.09</t>
  </si>
  <si>
    <t>11-month cum June.08 - Apr.09</t>
  </si>
  <si>
    <t>11-month cum. July 08 - May 09</t>
  </si>
  <si>
    <t>11-month cum. Aug 08 - June 09</t>
  </si>
  <si>
    <t>11-month cum. Sept. 08 - July 09</t>
  </si>
  <si>
    <t>11-month cum. Oct. 08 - Aug 09</t>
  </si>
  <si>
    <t>11-month cum. Nov.08 - Sept.09</t>
  </si>
  <si>
    <t>11-month cum. Dec.08 - Oct.09</t>
  </si>
  <si>
    <t>11-month cum. Jan.09 - Nov.09</t>
  </si>
  <si>
    <t>11-month cum. Feb.09 - Dec.09</t>
  </si>
  <si>
    <t>11-month cum. Mar.09 - Jan/10</t>
  </si>
  <si>
    <t>11-month cumul. Apr/09 - Feb/10</t>
  </si>
  <si>
    <t>11-mon. cum. May'09 to Mar/10</t>
  </si>
  <si>
    <t>Jun'09 to Apr'10</t>
  </si>
  <si>
    <t>Jul'09 to May'10</t>
  </si>
  <si>
    <t>Aug'09 to Jun'10</t>
  </si>
  <si>
    <t>Sept'09 to Jul'10</t>
  </si>
  <si>
    <t>Oct'09 to Aug'10</t>
  </si>
  <si>
    <t>Nov'09 to Sept'10</t>
  </si>
  <si>
    <t>Dec'09 to Oct'10</t>
  </si>
  <si>
    <t>Jan'10 to Nov'10</t>
  </si>
  <si>
    <t>Feb'10 to Dec'10</t>
  </si>
  <si>
    <t>Mar'10 to Jan'11</t>
  </si>
  <si>
    <t>Apr`10 to Feb`11</t>
  </si>
  <si>
    <t>May'10 to Mar'11</t>
  </si>
  <si>
    <t>Jun'10 to Apr'11</t>
  </si>
  <si>
    <t>Jul'10 to May'11</t>
  </si>
  <si>
    <t>Aug'10 to Jun'11</t>
  </si>
  <si>
    <t>Sept'10 to Jul'11</t>
  </si>
  <si>
    <t>Oct'10 to Aug'11</t>
  </si>
  <si>
    <t>Nov'10 to Sept'11</t>
  </si>
  <si>
    <t>Dec'10-Oct'11</t>
  </si>
  <si>
    <t>Jan'11 - Nov'11</t>
  </si>
  <si>
    <t>Feb'11 - Dec.11</t>
  </si>
  <si>
    <t>Mar'11 - Jan'12</t>
  </si>
  <si>
    <t>Apr'11 - Feb'12</t>
  </si>
  <si>
    <t>May'11-Mar'12</t>
  </si>
  <si>
    <t>Jun'11-Apr'12</t>
  </si>
  <si>
    <t>Jul'11-May'12</t>
  </si>
  <si>
    <t>Aug'11-Jun'12</t>
  </si>
  <si>
    <t>Sept'11 - Jul'12</t>
  </si>
  <si>
    <t>Oct'11 - Aug'12</t>
  </si>
  <si>
    <t>Nov'11 - Sept'12</t>
  </si>
  <si>
    <t>Dec'11 - Oct'12</t>
  </si>
  <si>
    <t>Jan'12 - Nov'12</t>
  </si>
  <si>
    <t>Feb'12 - Dec'12</t>
  </si>
  <si>
    <t>Mar'12 - Jan'13</t>
  </si>
  <si>
    <t>Apr'12 - Feb'13</t>
  </si>
  <si>
    <t>May'12 - Mar'13</t>
  </si>
  <si>
    <t>Jun'12 - Apr'13</t>
  </si>
  <si>
    <t>July'12 - May'13</t>
  </si>
  <si>
    <t>Aug'12-June'13</t>
  </si>
  <si>
    <t>Sep'12-July'13</t>
  </si>
  <si>
    <t>Oct'12-Aug'13</t>
  </si>
  <si>
    <t>Nov'12-Sep'13</t>
  </si>
  <si>
    <t>Dec'12-Oct'13</t>
  </si>
  <si>
    <t>Payments to suppliers</t>
  </si>
  <si>
    <t>OEFC - NUG generation</t>
  </si>
  <si>
    <t>OPG Generation</t>
  </si>
  <si>
    <t>Total:</t>
  </si>
  <si>
    <t>Weighted average HOEP $/MWh</t>
  </si>
  <si>
    <t>11-month cum. Total check:</t>
  </si>
  <si>
    <t>a</t>
  </si>
  <si>
    <t>agreed to monthly GA submission total and HOEP</t>
  </si>
  <si>
    <t>http://www.ieso.ca/imoweb/marketdata/marketSummary.asp</t>
  </si>
  <si>
    <t>August'12</t>
  </si>
  <si>
    <t>Average HOEP rate:</t>
  </si>
  <si>
    <t>Check that monthly figures reconcile to IESO Web posting at this link:</t>
  </si>
  <si>
    <t>http://ieso.ca/imoweb/b100/b100_GA.asp</t>
  </si>
  <si>
    <t>Diffrence from IESO System error to be corrected next month</t>
  </si>
  <si>
    <t>11 Month Cumulative RA</t>
  </si>
  <si>
    <t>\</t>
  </si>
  <si>
    <t>Preparer</t>
  </si>
  <si>
    <t>Reviewer</t>
  </si>
  <si>
    <t xml:space="preserve"> Reconcile the amounts on the monthly IESO invoice and GA submission to amounts entered in the “GA DATA” tab.</t>
  </si>
  <si>
    <t>TA 9/19/2012</t>
  </si>
  <si>
    <t>Reconcile the previous  monthly GAM amounts and monthly total in the spreadsheet to the monthly GAM amounts posted on the IESO website here: http://www.ieso.ca/imoweb/b100/b100_ga.asp</t>
  </si>
  <si>
    <t>Foot each monthly amount to ensure cell formulas are accurate.</t>
  </si>
  <si>
    <t>Cross foot 12-month period to be reported to ensure cross-footed totals add.</t>
  </si>
  <si>
    <t>Agree the calculated 12-month total to the rolling 12-month cumulative figure.</t>
  </si>
  <si>
    <t>Reconcile the monthly average HOEP amount in the spreadsheet to the IESO website posting of HOEP found here: http://www.ieso.ca/imoweb/marketdata/marketSummary.asp</t>
  </si>
  <si>
    <t>Agree the sum of the rolling 11-month cumulative amounts to the calculated 11-month cumulative total of the Global Adjustment charge type for the specified period.</t>
  </si>
  <si>
    <t>TA 8/17/2012</t>
  </si>
  <si>
    <t>Compare the data sources on the GAM chart to the data and period for the reporting period (e.g. click on data points on graph to ensure they tie to GAM figures and months).</t>
  </si>
  <si>
    <t>Ensure presentation slide dates match reporting period for chart.</t>
  </si>
  <si>
    <t>Ensure correct chart is pasted into presentation.</t>
  </si>
  <si>
    <t>Ensure correct cash flow figures are pasted into presentation.</t>
  </si>
  <si>
    <t>Review web posting of presentation for accuracy once confirmed by helpdesk.</t>
  </si>
  <si>
    <t>Detailed breakout - OPA Contract Adjustment Balancing Amount</t>
  </si>
  <si>
    <t>Baseload - Nuclear</t>
  </si>
  <si>
    <t>Baseload</t>
  </si>
  <si>
    <t>Renewable - Hydro, Wind and Biomass/Landfill</t>
  </si>
  <si>
    <t>Renewable</t>
  </si>
  <si>
    <t>Gas Fired  - Natural Gas</t>
  </si>
  <si>
    <t>Gas-Fired</t>
  </si>
  <si>
    <t xml:space="preserve">Other - Demand Response, Conservation and other charges, Gas Management </t>
  </si>
  <si>
    <t>Capacity</t>
  </si>
  <si>
    <t>Total GAM</t>
  </si>
  <si>
    <t>GA Data</t>
  </si>
  <si>
    <t>HOEP</t>
  </si>
  <si>
    <t>GAM</t>
  </si>
  <si>
    <t>Total Cost</t>
  </si>
  <si>
    <t xml:space="preserve">HOEP vs GAM </t>
  </si>
  <si>
    <t>The Hourly Ontario Electricity Price (HOEP) and GAM have an inverse relationship. When HOEP increases, GAM decreases and vice versa</t>
  </si>
  <si>
    <t>Assumptions</t>
  </si>
  <si>
    <t>Total commodity cost of electricity and supply mix remain constant</t>
  </si>
  <si>
    <t>Note : For 2013, December information is not yet avaliable so an estimate equal to November was used</t>
  </si>
  <si>
    <t>Dec'13</t>
  </si>
  <si>
    <t>Jan'13-Nov'13</t>
  </si>
  <si>
    <t>Solar</t>
  </si>
  <si>
    <t>Financing Charges and Funds</t>
  </si>
  <si>
    <t>Biomass, Landfill and Byproduct</t>
  </si>
  <si>
    <t>Ontario Power Generation - Regulated Nuclear and Hydro</t>
  </si>
  <si>
    <t>Ontario Electricity Finance Corporation - Non-Utility Generation</t>
  </si>
  <si>
    <t>Other Programs - IEI and Storage</t>
  </si>
  <si>
    <t>Nuclear (non-OPG)</t>
  </si>
  <si>
    <t>Natural Gas</t>
  </si>
  <si>
    <t>Non-Hydro Renewables Funding Amount*</t>
  </si>
  <si>
    <t>Components - expressed in $000,000</t>
  </si>
  <si>
    <t>Total by Components</t>
  </si>
  <si>
    <t>Total Global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</si>
</sst>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4" formatCode="_-&quot;$&quot;* #,##0.00_-;\-&quot;$&quot;* #,##0.00_-;_-&quot;$&quot;* &quot;-&quot;??_-;_-@_-"/>
    <numFmt numFmtId="43" formatCode="_-* #,##0.00_-;\-* #,##0.00_-;_-* &quot;-&quot;??_-;_-@_-"/>
    <numFmt numFmtId="164" formatCode="&quot;$&quot;#,##0_);\(&quot;$&quot;#,##0\)"/>
    <numFmt numFmtId="165" formatCode="&quot;$&quot;#,##0.00_);\(&quot;$&quot;#,##0.0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 #,##0_);_(* \(#,##0\);_(* &quot;-&quot;??_);_(@_)"/>
    <numFmt numFmtId="172" formatCode="&quot;$&quot;\ \ #,###;[Red]&quot;$&quot;\ \ \(#,###\)"/>
    <numFmt numFmtId="173" formatCode="_-* #,##0_-;\-* #,##0_-;_-* &quot;-&quot;??_-;_-@_-"/>
    <numFmt numFmtId="174" formatCode="_-* #,##0.0_-;\-* #,##0.0_-;_-* &quot;-&quot;??_-;_-@_-"/>
    <numFmt numFmtId="175" formatCode="&quot;$&quot;#,##0"/>
    <numFmt numFmtId="176" formatCode="0.0"/>
    <numFmt numFmtId="177" formatCode="_-&quot;$&quot;* #,##0_-;\-&quot;$&quot;* #,##0_-;_-&quot;$&quot;* &quot;-&quot;??_-;_-@_-"/>
    <numFmt numFmtId="178" formatCode="&quot;$&quot;#,##0.00"/>
    <numFmt numFmtId="179" formatCode="0.000"/>
    <numFmt numFmtId="180" formatCode="_(* #,##0.000_);_(* \(#,##0.000\);_(* &quot;-&quot;???_);_(@_)"/>
    <numFmt numFmtId="181" formatCode="_-* #,##0.000_-;\-* #,##0.000_-;_-* &quot;-&quot;??_-;_-@_-"/>
    <numFmt numFmtId="182" formatCode="&quot;$&quot;#,##0.00;[Red]\ \(&quot;$&quot;#,##0.00\)"/>
    <numFmt numFmtId="183" formatCode="_(* #,##0.0_);_(* \(#,##0.0\);_(* &quot;-&quot;??_);_(@_)"/>
    <numFmt numFmtId="184" formatCode="_-* #,##0.0_-;\-* #,##0.0_-;_-*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Calibri"/>
      <family val="2"/>
    </font>
    <font>
      <sz val="10"/>
      <name val="Arial"/>
      <family val="2"/>
    </font>
    <font>
      <b/>
      <sz val="10"/>
      <name val="Arial"/>
      <family val="2"/>
    </font>
    <font>
      <b/>
      <u/>
      <sz val="10"/>
      <name val="Calibri"/>
      <family val="2"/>
    </font>
    <font>
      <sz val="10"/>
      <name val="Calibri"/>
      <family val="2"/>
    </font>
    <font>
      <b/>
      <sz val="10"/>
      <name val="Calibri"/>
      <family val="2"/>
      <scheme val="minor"/>
    </font>
    <font>
      <b/>
      <sz val="10"/>
      <color indexed="17"/>
      <name val="Webdings"/>
      <family val="1"/>
      <charset val="2"/>
    </font>
    <font>
      <i/>
      <sz val="10"/>
      <name val="Arial"/>
      <family val="2"/>
    </font>
    <font>
      <b/>
      <sz val="10"/>
      <color indexed="17"/>
      <name val="Arial"/>
      <family val="2"/>
    </font>
    <font>
      <u/>
      <sz val="10"/>
      <color indexed="12"/>
      <name val="Arial"/>
      <family val="2"/>
    </font>
    <font>
      <i/>
      <u/>
      <sz val="10"/>
      <name val="Arial"/>
      <family val="2"/>
    </font>
    <font>
      <sz val="11"/>
      <name val="Calibri"/>
      <family val="2"/>
    </font>
    <font>
      <sz val="9"/>
      <name val="Arial"/>
      <family val="2"/>
    </font>
    <font>
      <sz val="8"/>
      <name val="Arial"/>
      <family val="2"/>
    </font>
    <font>
      <sz val="10"/>
      <name val="Calibri"/>
      <family val="2"/>
      <scheme val="minor"/>
    </font>
    <font>
      <b/>
      <sz val="10"/>
      <color indexed="81"/>
      <name val="Tahoma"/>
      <family val="2"/>
    </font>
    <font>
      <sz val="10"/>
      <color indexed="81"/>
      <name val="Tahoma"/>
      <family val="2"/>
    </font>
    <font>
      <b/>
      <sz val="9"/>
      <color indexed="81"/>
      <name val="Tahoma"/>
      <family val="2"/>
    </font>
    <font>
      <sz val="9"/>
      <color indexed="81"/>
      <name val="Tahoma"/>
      <family val="2"/>
    </font>
    <font>
      <sz val="10"/>
      <name val="Arial"/>
      <family val="2"/>
    </font>
  </fonts>
  <fills count="12">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FF9900"/>
        <bgColor indexed="64"/>
      </patternFill>
    </fill>
    <fill>
      <patternFill patternType="solid">
        <fgColor indexed="13"/>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4" tint="0.39997558519241921"/>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2">
    <xf numFmtId="0" fontId="0" fillId="0" borderId="0"/>
    <xf numFmtId="170" fontId="1" fillId="0" borderId="0" applyFont="0" applyFill="0" applyBorder="0" applyAlignment="0" applyProtection="0"/>
    <xf numFmtId="9" fontId="1" fillId="0" borderId="0" applyFont="0" applyFill="0" applyBorder="0" applyAlignment="0" applyProtection="0"/>
    <xf numFmtId="0" fontId="3"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170" fontId="5" fillId="0" borderId="0" applyFont="0" applyFill="0" applyBorder="0" applyAlignment="0" applyProtection="0"/>
    <xf numFmtId="0" fontId="5" fillId="0" borderId="0"/>
    <xf numFmtId="0" fontId="5" fillId="0" borderId="0"/>
    <xf numFmtId="0" fontId="5" fillId="0" borderId="0"/>
    <xf numFmtId="0" fontId="13" fillId="0" borderId="0" applyNumberFormat="0" applyFill="0" applyBorder="0" applyAlignment="0" applyProtection="0">
      <alignment vertical="top"/>
      <protection locked="0"/>
    </xf>
    <xf numFmtId="0" fontId="23" fillId="0" borderId="0"/>
    <xf numFmtId="43" fontId="3" fillId="0" borderId="0" applyFont="0" applyFill="0" applyBorder="0" applyAlignment="0" applyProtection="0"/>
    <xf numFmtId="44" fontId="3" fillId="0" borderId="0" applyFont="0" applyFill="0" applyBorder="0" applyAlignment="0" applyProtection="0"/>
    <xf numFmtId="182"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170" fontId="3" fillId="0" borderId="0" applyFont="0" applyFill="0" applyBorder="0" applyAlignment="0" applyProtection="0"/>
  </cellStyleXfs>
  <cellXfs count="511">
    <xf numFmtId="0" fontId="0" fillId="0" borderId="0" xfId="0"/>
    <xf numFmtId="0" fontId="0" fillId="0" borderId="0" xfId="0" applyAlignment="1">
      <alignment horizontal="left"/>
    </xf>
    <xf numFmtId="171" fontId="0" fillId="0" borderId="0" xfId="0" applyNumberFormat="1"/>
    <xf numFmtId="0" fontId="2" fillId="0" borderId="1" xfId="0" applyFont="1" applyBorder="1"/>
    <xf numFmtId="17" fontId="2" fillId="0" borderId="2" xfId="0" applyNumberFormat="1" applyFont="1" applyBorder="1"/>
    <xf numFmtId="17" fontId="2" fillId="0" borderId="3" xfId="0" applyNumberFormat="1" applyFont="1" applyBorder="1"/>
    <xf numFmtId="0" fontId="0" fillId="0" borderId="4" xfId="0" applyBorder="1"/>
    <xf numFmtId="171" fontId="0" fillId="0" borderId="0" xfId="0" applyNumberFormat="1" applyBorder="1"/>
    <xf numFmtId="171" fontId="0" fillId="0" borderId="5" xfId="0" applyNumberFormat="1" applyBorder="1"/>
    <xf numFmtId="0" fontId="0" fillId="0" borderId="6" xfId="0" applyBorder="1"/>
    <xf numFmtId="171" fontId="0" fillId="0" borderId="7" xfId="0" applyNumberFormat="1" applyBorder="1"/>
    <xf numFmtId="171" fontId="0" fillId="0" borderId="8" xfId="0" applyNumberFormat="1" applyBorder="1"/>
    <xf numFmtId="171" fontId="2" fillId="0" borderId="2" xfId="0" applyNumberFormat="1" applyFont="1" applyBorder="1"/>
    <xf numFmtId="171" fontId="2" fillId="0" borderId="3" xfId="0" applyNumberFormat="1" applyFont="1" applyBorder="1"/>
    <xf numFmtId="17" fontId="4" fillId="0" borderId="2" xfId="3" quotePrefix="1" applyNumberFormat="1" applyFont="1" applyBorder="1" applyAlignment="1">
      <alignment horizontal="center"/>
    </xf>
    <xf numFmtId="0" fontId="4" fillId="0" borderId="2" xfId="3" applyNumberFormat="1" applyFont="1" applyBorder="1" applyAlignment="1">
      <alignment horizontal="center"/>
    </xf>
    <xf numFmtId="16" fontId="4" fillId="0" borderId="2" xfId="3" applyNumberFormat="1" applyFont="1" applyBorder="1" applyAlignment="1">
      <alignment horizontal="center"/>
    </xf>
    <xf numFmtId="0" fontId="4" fillId="0" borderId="2" xfId="3" applyNumberFormat="1" applyFont="1" applyBorder="1" applyAlignment="1">
      <alignment horizontal="right"/>
    </xf>
    <xf numFmtId="0" fontId="4" fillId="0" borderId="2" xfId="3" applyNumberFormat="1" applyFont="1" applyFill="1" applyBorder="1" applyAlignment="1">
      <alignment horizontal="right"/>
    </xf>
    <xf numFmtId="0" fontId="5" fillId="0" borderId="0" xfId="3" applyFont="1"/>
    <xf numFmtId="171" fontId="5" fillId="0" borderId="0" xfId="1" applyNumberFormat="1" applyFont="1"/>
    <xf numFmtId="171" fontId="5" fillId="0" borderId="0" xfId="1" applyNumberFormat="1" applyFont="1" applyFill="1"/>
    <xf numFmtId="0" fontId="6" fillId="0" borderId="0" xfId="3" applyFont="1"/>
    <xf numFmtId="171" fontId="5" fillId="0" borderId="9" xfId="1" applyNumberFormat="1" applyFont="1" applyBorder="1"/>
    <xf numFmtId="171" fontId="5" fillId="0" borderId="2" xfId="1" applyNumberFormat="1" applyFont="1" applyBorder="1"/>
    <xf numFmtId="171" fontId="5" fillId="0" borderId="2" xfId="1" applyNumberFormat="1" applyFont="1" applyFill="1" applyBorder="1"/>
    <xf numFmtId="171" fontId="5" fillId="2" borderId="2" xfId="1" applyNumberFormat="1" applyFont="1" applyFill="1" applyBorder="1"/>
    <xf numFmtId="171" fontId="6" fillId="3" borderId="2" xfId="1" applyNumberFormat="1" applyFont="1" applyFill="1" applyBorder="1"/>
    <xf numFmtId="0" fontId="2" fillId="0" borderId="10" xfId="0" applyFont="1" applyBorder="1"/>
    <xf numFmtId="0" fontId="2" fillId="0" borderId="11" xfId="0" applyFont="1" applyBorder="1"/>
    <xf numFmtId="0" fontId="2" fillId="0" borderId="12" xfId="0" applyFont="1" applyBorder="1"/>
    <xf numFmtId="0" fontId="2" fillId="0" borderId="0" xfId="0" applyFont="1"/>
    <xf numFmtId="0" fontId="5" fillId="0" borderId="4" xfId="3" applyFont="1" applyBorder="1" applyAlignment="1">
      <alignment wrapText="1"/>
    </xf>
    <xf numFmtId="173" fontId="5" fillId="0" borderId="0" xfId="4" applyNumberFormat="1" applyFont="1" applyFill="1" applyBorder="1"/>
    <xf numFmtId="173" fontId="0" fillId="0" borderId="0" xfId="0" applyNumberFormat="1"/>
    <xf numFmtId="0" fontId="5" fillId="0" borderId="6" xfId="3" applyFont="1" applyBorder="1"/>
    <xf numFmtId="173" fontId="5" fillId="0" borderId="7" xfId="4" applyNumberFormat="1" applyFont="1" applyFill="1" applyBorder="1"/>
    <xf numFmtId="0" fontId="3" fillId="0" borderId="0" xfId="3" applyBorder="1"/>
    <xf numFmtId="0" fontId="0" fillId="0" borderId="0" xfId="0" applyBorder="1"/>
    <xf numFmtId="174" fontId="5" fillId="0" borderId="0" xfId="4" applyNumberFormat="1" applyFont="1" applyFill="1" applyBorder="1"/>
    <xf numFmtId="16" fontId="0" fillId="0" borderId="0" xfId="0" quotePrefix="1" applyNumberFormat="1"/>
    <xf numFmtId="0" fontId="0" fillId="0" borderId="0" xfId="0" quotePrefix="1"/>
    <xf numFmtId="174" fontId="5" fillId="0" borderId="0" xfId="3" applyNumberFormat="1" applyFont="1" applyFill="1" applyBorder="1"/>
    <xf numFmtId="0" fontId="5" fillId="0" borderId="0" xfId="6"/>
    <xf numFmtId="0" fontId="6" fillId="0" borderId="10" xfId="6" applyFont="1" applyBorder="1"/>
    <xf numFmtId="0" fontId="6" fillId="0" borderId="0" xfId="6" applyFont="1"/>
    <xf numFmtId="0" fontId="5" fillId="0" borderId="4" xfId="6" applyBorder="1" applyAlignment="1">
      <alignment horizontal="left"/>
    </xf>
    <xf numFmtId="170" fontId="0" fillId="0" borderId="0" xfId="7" applyNumberFormat="1" applyFont="1" applyBorder="1"/>
    <xf numFmtId="170" fontId="0" fillId="0" borderId="7" xfId="7" applyNumberFormat="1" applyFont="1" applyBorder="1"/>
    <xf numFmtId="0" fontId="5" fillId="0" borderId="0" xfId="6" applyAlignment="1">
      <alignment horizontal="left"/>
    </xf>
    <xf numFmtId="0" fontId="7" fillId="0" borderId="0" xfId="3" applyFont="1" applyBorder="1" applyAlignment="1"/>
    <xf numFmtId="0" fontId="8" fillId="0" borderId="0" xfId="3" applyFont="1" applyBorder="1" applyAlignment="1"/>
    <xf numFmtId="4" fontId="5" fillId="0" borderId="0" xfId="3" applyNumberFormat="1" applyFont="1"/>
    <xf numFmtId="170" fontId="5" fillId="0" borderId="0" xfId="3" applyNumberFormat="1" applyFont="1"/>
    <xf numFmtId="43" fontId="5" fillId="0" borderId="0" xfId="4" applyFont="1"/>
    <xf numFmtId="168" fontId="5" fillId="0" borderId="0" xfId="3" applyNumberFormat="1" applyFont="1"/>
    <xf numFmtId="167" fontId="5" fillId="0" borderId="0" xfId="3" applyNumberFormat="1" applyFont="1"/>
    <xf numFmtId="0" fontId="4" fillId="2" borderId="0" xfId="3" applyFont="1" applyFill="1" applyBorder="1" applyAlignment="1"/>
    <xf numFmtId="0" fontId="5" fillId="2" borderId="0" xfId="3" applyFont="1" applyFill="1"/>
    <xf numFmtId="0" fontId="5" fillId="2" borderId="13" xfId="3" applyFont="1" applyFill="1" applyBorder="1"/>
    <xf numFmtId="0" fontId="5" fillId="2" borderId="0" xfId="3" applyNumberFormat="1" applyFont="1" applyFill="1"/>
    <xf numFmtId="4" fontId="5" fillId="2" borderId="0" xfId="3" applyNumberFormat="1" applyFont="1" applyFill="1"/>
    <xf numFmtId="170" fontId="5" fillId="2" borderId="0" xfId="3" applyNumberFormat="1" applyFont="1" applyFill="1"/>
    <xf numFmtId="43" fontId="5" fillId="2" borderId="0" xfId="4" applyFont="1" applyFill="1"/>
    <xf numFmtId="168" fontId="5" fillId="2" borderId="0" xfId="3" applyNumberFormat="1" applyFont="1" applyFill="1"/>
    <xf numFmtId="167" fontId="5" fillId="2" borderId="0" xfId="3" applyNumberFormat="1" applyFont="1" applyFill="1"/>
    <xf numFmtId="168" fontId="8" fillId="0" borderId="0" xfId="3" applyNumberFormat="1" applyFont="1" applyBorder="1" applyAlignment="1">
      <alignment horizontal="left"/>
    </xf>
    <xf numFmtId="168" fontId="4" fillId="0" borderId="2" xfId="3" quotePrefix="1" applyNumberFormat="1" applyFont="1" applyBorder="1" applyAlignment="1">
      <alignment horizontal="center"/>
    </xf>
    <xf numFmtId="0" fontId="5" fillId="0" borderId="14" xfId="3" applyFont="1" applyBorder="1" applyAlignment="1">
      <alignment wrapText="1"/>
    </xf>
    <xf numFmtId="0" fontId="5" fillId="0" borderId="14" xfId="3" applyFont="1" applyBorder="1" applyAlignment="1">
      <alignment horizontal="center" wrapText="1"/>
    </xf>
    <xf numFmtId="0" fontId="5" fillId="0" borderId="0" xfId="3" applyFont="1" applyAlignment="1">
      <alignment horizontal="center" wrapText="1"/>
    </xf>
    <xf numFmtId="0" fontId="5" fillId="0" borderId="0" xfId="3" applyFont="1" applyAlignment="1">
      <alignment horizontal="left" wrapText="1"/>
    </xf>
    <xf numFmtId="4" fontId="5" fillId="0" borderId="0" xfId="3" applyNumberFormat="1" applyFont="1" applyAlignment="1">
      <alignment horizontal="left" wrapText="1"/>
    </xf>
    <xf numFmtId="4" fontId="5" fillId="0" borderId="0" xfId="3" applyNumberFormat="1" applyFont="1" applyAlignment="1">
      <alignment horizontal="center" wrapText="1"/>
    </xf>
    <xf numFmtId="170" fontId="5" fillId="0" borderId="0" xfId="3" applyNumberFormat="1" applyFont="1" applyAlignment="1">
      <alignment horizontal="left" wrapText="1"/>
    </xf>
    <xf numFmtId="0" fontId="5" fillId="0" borderId="0" xfId="3" applyFont="1" applyAlignment="1">
      <alignment horizontal="left"/>
    </xf>
    <xf numFmtId="0" fontId="5" fillId="0" borderId="0" xfId="3" applyFont="1" applyAlignment="1">
      <alignment horizontal="left" vertical="top" wrapText="1"/>
    </xf>
    <xf numFmtId="168" fontId="5" fillId="0" borderId="0" xfId="3" applyNumberFormat="1" applyFont="1" applyAlignment="1">
      <alignment horizontal="left" wrapText="1"/>
    </xf>
    <xf numFmtId="167" fontId="5" fillId="0" borderId="0" xfId="3" applyNumberFormat="1" applyFont="1" applyAlignment="1">
      <alignment horizontal="left" wrapText="1"/>
    </xf>
    <xf numFmtId="43" fontId="5" fillId="0" borderId="0" xfId="4" applyFont="1" applyAlignment="1">
      <alignment horizontal="center" wrapText="1"/>
    </xf>
    <xf numFmtId="168" fontId="7" fillId="0" borderId="0" xfId="3" applyNumberFormat="1" applyFont="1" applyBorder="1" applyAlignment="1"/>
    <xf numFmtId="168" fontId="8" fillId="0" borderId="0" xfId="3" applyNumberFormat="1" applyFont="1" applyBorder="1" applyAlignment="1"/>
    <xf numFmtId="168" fontId="8" fillId="0" borderId="0" xfId="3" applyNumberFormat="1" applyFont="1" applyBorder="1" applyAlignment="1">
      <alignment horizontal="right"/>
    </xf>
    <xf numFmtId="168" fontId="8" fillId="0" borderId="0" xfId="3" applyNumberFormat="1" applyFont="1" applyFill="1" applyBorder="1" applyAlignment="1">
      <alignment horizontal="right"/>
    </xf>
    <xf numFmtId="168" fontId="8" fillId="0" borderId="0" xfId="5" applyNumberFormat="1" applyFont="1" applyBorder="1" applyAlignment="1">
      <alignment horizontal="right"/>
    </xf>
    <xf numFmtId="168" fontId="8" fillId="0" borderId="0" xfId="5" applyNumberFormat="1" applyFont="1" applyFill="1" applyBorder="1" applyAlignment="1">
      <alignment horizontal="right"/>
    </xf>
    <xf numFmtId="175" fontId="8" fillId="0" borderId="0" xfId="5" applyNumberFormat="1" applyFont="1" applyFill="1" applyBorder="1" applyAlignment="1">
      <alignment horizontal="right"/>
    </xf>
    <xf numFmtId="175" fontId="8" fillId="0" borderId="0" xfId="3" applyNumberFormat="1" applyFont="1" applyFill="1" applyBorder="1" applyAlignment="1">
      <alignment horizontal="right"/>
    </xf>
    <xf numFmtId="3" fontId="5" fillId="0" borderId="0" xfId="3" applyNumberFormat="1" applyFont="1" applyAlignment="1">
      <alignment horizontal="right"/>
    </xf>
    <xf numFmtId="0" fontId="5" fillId="0" borderId="0" xfId="3" applyFont="1" applyFill="1" applyAlignment="1">
      <alignment horizontal="right"/>
    </xf>
    <xf numFmtId="0" fontId="5" fillId="0" borderId="0" xfId="3" applyFont="1" applyAlignment="1">
      <alignment horizontal="right"/>
    </xf>
    <xf numFmtId="176" fontId="5" fillId="0" borderId="0" xfId="3" applyNumberFormat="1" applyFont="1" applyAlignment="1">
      <alignment horizontal="right"/>
    </xf>
    <xf numFmtId="4" fontId="5" fillId="0" borderId="0" xfId="3" applyNumberFormat="1" applyFont="1" applyAlignment="1">
      <alignment horizontal="right"/>
    </xf>
    <xf numFmtId="170" fontId="5" fillId="0" borderId="0" xfId="3" applyNumberFormat="1" applyFont="1" applyAlignment="1">
      <alignment horizontal="right"/>
    </xf>
    <xf numFmtId="43" fontId="5" fillId="0" borderId="0" xfId="4" applyFont="1" applyAlignment="1">
      <alignment horizontal="right"/>
    </xf>
    <xf numFmtId="169" fontId="5" fillId="0" borderId="0" xfId="3" applyNumberFormat="1" applyFont="1" applyAlignment="1">
      <alignment horizontal="right"/>
    </xf>
    <xf numFmtId="168" fontId="5" fillId="0" borderId="0" xfId="3" applyNumberFormat="1" applyFont="1" applyAlignment="1">
      <alignment horizontal="right"/>
    </xf>
    <xf numFmtId="167" fontId="5" fillId="0" borderId="0" xfId="3" applyNumberFormat="1" applyFont="1" applyAlignment="1">
      <alignment horizontal="right"/>
    </xf>
    <xf numFmtId="168" fontId="8" fillId="4" borderId="0" xfId="3" applyNumberFormat="1" applyFont="1" applyFill="1" applyBorder="1" applyAlignment="1">
      <alignment horizontal="right"/>
    </xf>
    <xf numFmtId="168" fontId="8" fillId="0" borderId="13" xfId="3" applyNumberFormat="1" applyFont="1" applyBorder="1" applyAlignment="1">
      <alignment horizontal="right"/>
    </xf>
    <xf numFmtId="168" fontId="8" fillId="0" borderId="13" xfId="3" applyNumberFormat="1" applyFont="1" applyFill="1" applyBorder="1" applyAlignment="1">
      <alignment horizontal="right"/>
    </xf>
    <xf numFmtId="168" fontId="8" fillId="4" borderId="13" xfId="3" applyNumberFormat="1" applyFont="1" applyFill="1" applyBorder="1" applyAlignment="1">
      <alignment horizontal="right"/>
    </xf>
    <xf numFmtId="3" fontId="5" fillId="0" borderId="13" xfId="3" applyNumberFormat="1" applyFont="1" applyBorder="1" applyAlignment="1">
      <alignment horizontal="right"/>
    </xf>
    <xf numFmtId="3" fontId="5" fillId="0" borderId="13" xfId="4" applyNumberFormat="1" applyFont="1" applyBorder="1" applyAlignment="1">
      <alignment horizontal="right"/>
    </xf>
    <xf numFmtId="0" fontId="5" fillId="0" borderId="13" xfId="3" applyFont="1" applyFill="1" applyBorder="1" applyAlignment="1">
      <alignment horizontal="right"/>
    </xf>
    <xf numFmtId="0" fontId="5" fillId="0" borderId="13" xfId="3" applyFont="1" applyBorder="1" applyAlignment="1">
      <alignment horizontal="right"/>
    </xf>
    <xf numFmtId="176" fontId="5" fillId="0" borderId="13" xfId="3" applyNumberFormat="1" applyFont="1" applyBorder="1" applyAlignment="1">
      <alignment horizontal="right"/>
    </xf>
    <xf numFmtId="4" fontId="5" fillId="0" borderId="13" xfId="3" applyNumberFormat="1" applyFont="1" applyBorder="1" applyAlignment="1">
      <alignment horizontal="right"/>
    </xf>
    <xf numFmtId="170" fontId="5" fillId="0" borderId="13" xfId="3" applyNumberFormat="1" applyFont="1" applyBorder="1" applyAlignment="1">
      <alignment horizontal="right"/>
    </xf>
    <xf numFmtId="43" fontId="5" fillId="0" borderId="13" xfId="4" applyFont="1" applyBorder="1" applyAlignment="1">
      <alignment horizontal="right"/>
    </xf>
    <xf numFmtId="169" fontId="5" fillId="0" borderId="13" xfId="3" applyNumberFormat="1" applyFont="1" applyBorder="1" applyAlignment="1">
      <alignment horizontal="right"/>
    </xf>
    <xf numFmtId="168" fontId="5" fillId="0" borderId="13" xfId="3" applyNumberFormat="1" applyFont="1" applyBorder="1" applyAlignment="1">
      <alignment horizontal="right"/>
    </xf>
    <xf numFmtId="167" fontId="5" fillId="0" borderId="13" xfId="3" applyNumberFormat="1" applyFont="1" applyBorder="1" applyAlignment="1">
      <alignment horizontal="right"/>
    </xf>
    <xf numFmtId="168" fontId="4" fillId="0" borderId="13" xfId="3" applyNumberFormat="1" applyFont="1" applyBorder="1" applyAlignment="1">
      <alignment horizontal="right"/>
    </xf>
    <xf numFmtId="168" fontId="8" fillId="0" borderId="13" xfId="3" applyNumberFormat="1" applyFont="1" applyBorder="1" applyAlignment="1"/>
    <xf numFmtId="168" fontId="8" fillId="0" borderId="13" xfId="3" applyNumberFormat="1" applyFont="1" applyFill="1" applyBorder="1" applyAlignment="1"/>
    <xf numFmtId="164" fontId="8" fillId="0" borderId="13" xfId="3" applyNumberFormat="1" applyFont="1" applyFill="1" applyBorder="1" applyAlignment="1"/>
    <xf numFmtId="164" fontId="4" fillId="0" borderId="13" xfId="3" applyNumberFormat="1" applyFont="1" applyFill="1" applyBorder="1" applyAlignment="1"/>
    <xf numFmtId="164" fontId="4" fillId="0" borderId="13" xfId="3" applyNumberFormat="1" applyFont="1" applyFill="1" applyBorder="1" applyAlignment="1">
      <alignment horizontal="right"/>
    </xf>
    <xf numFmtId="168" fontId="4" fillId="0" borderId="13" xfId="3" applyNumberFormat="1" applyFont="1" applyFill="1" applyBorder="1" applyAlignment="1">
      <alignment horizontal="right"/>
    </xf>
    <xf numFmtId="164" fontId="4" fillId="3" borderId="13" xfId="3" applyNumberFormat="1" applyFont="1" applyFill="1" applyBorder="1" applyAlignment="1">
      <alignment horizontal="right"/>
    </xf>
    <xf numFmtId="3" fontId="5" fillId="0" borderId="13" xfId="3" applyNumberFormat="1" applyFont="1" applyBorder="1" applyAlignment="1"/>
    <xf numFmtId="0" fontId="5" fillId="0" borderId="13" xfId="3" applyFont="1" applyFill="1" applyBorder="1" applyAlignment="1"/>
    <xf numFmtId="0" fontId="5" fillId="0" borderId="13" xfId="3" applyFont="1" applyBorder="1" applyAlignment="1"/>
    <xf numFmtId="176" fontId="5" fillId="0" borderId="13" xfId="3" applyNumberFormat="1" applyFont="1" applyBorder="1" applyAlignment="1"/>
    <xf numFmtId="4" fontId="5" fillId="0" borderId="13" xfId="3" applyNumberFormat="1" applyFont="1" applyBorder="1" applyAlignment="1"/>
    <xf numFmtId="170" fontId="5" fillId="0" borderId="13" xfId="3" applyNumberFormat="1" applyFont="1" applyBorder="1" applyAlignment="1"/>
    <xf numFmtId="43" fontId="5" fillId="0" borderId="13" xfId="4" applyFont="1" applyBorder="1" applyAlignment="1"/>
    <xf numFmtId="168" fontId="4" fillId="0" borderId="15" xfId="3" applyNumberFormat="1" applyFont="1" applyFill="1" applyBorder="1" applyAlignment="1">
      <alignment horizontal="right"/>
    </xf>
    <xf numFmtId="167" fontId="4" fillId="0" borderId="15" xfId="3" applyNumberFormat="1" applyFont="1" applyFill="1" applyBorder="1" applyAlignment="1">
      <alignment horizontal="right"/>
    </xf>
    <xf numFmtId="0" fontId="8" fillId="0" borderId="0" xfId="3" applyFont="1" applyBorder="1" applyAlignment="1">
      <alignment horizontal="right"/>
    </xf>
    <xf numFmtId="167" fontId="8" fillId="0" borderId="0" xfId="3" applyNumberFormat="1" applyFont="1" applyBorder="1" applyAlignment="1">
      <alignment horizontal="right"/>
    </xf>
    <xf numFmtId="0" fontId="6" fillId="0" borderId="0" xfId="3" applyFont="1" applyAlignment="1">
      <alignment horizontal="right"/>
    </xf>
    <xf numFmtId="0" fontId="4" fillId="0" borderId="0" xfId="3" applyFont="1" applyBorder="1" applyAlignment="1">
      <alignment horizontal="right"/>
    </xf>
    <xf numFmtId="169" fontId="8" fillId="0" borderId="0" xfId="5" applyNumberFormat="1" applyFont="1" applyBorder="1" applyAlignment="1">
      <alignment horizontal="right"/>
    </xf>
    <xf numFmtId="169" fontId="8" fillId="0" borderId="0" xfId="5" applyNumberFormat="1" applyFont="1" applyFill="1" applyBorder="1" applyAlignment="1">
      <alignment horizontal="right"/>
    </xf>
    <xf numFmtId="44" fontId="8" fillId="0" borderId="0" xfId="5" applyFont="1" applyAlignment="1">
      <alignment horizontal="right"/>
    </xf>
    <xf numFmtId="44" fontId="8" fillId="0" borderId="0" xfId="5" applyFont="1" applyFill="1" applyAlignment="1">
      <alignment horizontal="right"/>
    </xf>
    <xf numFmtId="165" fontId="8" fillId="0" borderId="0" xfId="5" applyNumberFormat="1" applyFont="1" applyFill="1" applyAlignment="1">
      <alignment horizontal="right"/>
    </xf>
    <xf numFmtId="165" fontId="4" fillId="0" borderId="16" xfId="5" applyNumberFormat="1" applyFont="1" applyFill="1" applyBorder="1" applyAlignment="1">
      <alignment horizontal="right"/>
    </xf>
    <xf numFmtId="165" fontId="4" fillId="0" borderId="16" xfId="3" applyNumberFormat="1" applyFont="1" applyBorder="1" applyAlignment="1">
      <alignment horizontal="right"/>
    </xf>
    <xf numFmtId="165" fontId="4" fillId="0" borderId="16" xfId="3" applyNumberFormat="1" applyFont="1" applyFill="1" applyBorder="1" applyAlignment="1">
      <alignment horizontal="right"/>
    </xf>
    <xf numFmtId="166" fontId="9" fillId="0" borderId="16" xfId="3" applyNumberFormat="1" applyFont="1" applyBorder="1"/>
    <xf numFmtId="166" fontId="9" fillId="0" borderId="16" xfId="3" applyNumberFormat="1" applyFont="1" applyFill="1" applyBorder="1"/>
    <xf numFmtId="4" fontId="6" fillId="0" borderId="0" xfId="3" applyNumberFormat="1" applyFont="1" applyAlignment="1">
      <alignment horizontal="right"/>
    </xf>
    <xf numFmtId="170" fontId="5" fillId="0" borderId="0" xfId="3" applyNumberFormat="1" applyFont="1" applyFill="1" applyAlignment="1">
      <alignment horizontal="right"/>
    </xf>
    <xf numFmtId="170" fontId="5" fillId="5" borderId="0" xfId="3" applyNumberFormat="1" applyFont="1" applyFill="1" applyAlignment="1">
      <alignment horizontal="right"/>
    </xf>
    <xf numFmtId="0" fontId="5" fillId="5" borderId="0" xfId="3" applyFont="1" applyFill="1" applyAlignment="1">
      <alignment horizontal="right"/>
    </xf>
    <xf numFmtId="169" fontId="5" fillId="0" borderId="16" xfId="3" applyNumberFormat="1" applyFont="1" applyBorder="1" applyAlignment="1">
      <alignment horizontal="right"/>
    </xf>
    <xf numFmtId="39" fontId="5" fillId="0" borderId="0" xfId="4" applyNumberFormat="1" applyFont="1" applyAlignment="1">
      <alignment horizontal="right"/>
    </xf>
    <xf numFmtId="0" fontId="8" fillId="0" borderId="0" xfId="3" applyFont="1" applyBorder="1"/>
    <xf numFmtId="177" fontId="8" fillId="0" borderId="0" xfId="5" applyNumberFormat="1" applyFont="1" applyBorder="1"/>
    <xf numFmtId="44" fontId="5" fillId="0" borderId="0" xfId="5" applyFont="1" applyFill="1" applyAlignment="1">
      <alignment horizontal="right"/>
    </xf>
    <xf numFmtId="178" fontId="5" fillId="0" borderId="0" xfId="3" applyNumberFormat="1" applyFont="1" applyAlignment="1">
      <alignment horizontal="right"/>
    </xf>
    <xf numFmtId="169" fontId="10" fillId="0" borderId="0" xfId="3" applyNumberFormat="1" applyFont="1" applyAlignment="1">
      <alignment horizontal="right"/>
    </xf>
    <xf numFmtId="0" fontId="11" fillId="0" borderId="0" xfId="3" applyFont="1" applyFill="1"/>
    <xf numFmtId="0" fontId="5" fillId="0" borderId="0" xfId="3" applyFont="1" applyFill="1"/>
    <xf numFmtId="4" fontId="5" fillId="0" borderId="0" xfId="3" applyNumberFormat="1" applyFont="1" applyFill="1"/>
    <xf numFmtId="43" fontId="5" fillId="0" borderId="0" xfId="3" applyNumberFormat="1" applyFont="1"/>
    <xf numFmtId="43" fontId="5" fillId="2" borderId="0" xfId="3" applyNumberFormat="1" applyFont="1" applyFill="1"/>
    <xf numFmtId="43" fontId="5" fillId="0" borderId="0" xfId="3" applyNumberFormat="1" applyFont="1" applyFill="1"/>
    <xf numFmtId="0" fontId="5" fillId="0" borderId="0" xfId="3" applyFont="1" applyFill="1" applyBorder="1"/>
    <xf numFmtId="177" fontId="5" fillId="0" borderId="0" xfId="5" applyNumberFormat="1" applyFont="1" applyFill="1" applyBorder="1"/>
    <xf numFmtId="177" fontId="5" fillId="6" borderId="0" xfId="5" applyNumberFormat="1" applyFont="1" applyFill="1" applyBorder="1"/>
    <xf numFmtId="169" fontId="12" fillId="0" borderId="0" xfId="3" applyNumberFormat="1" applyFont="1"/>
    <xf numFmtId="179" fontId="5" fillId="0" borderId="0" xfId="3" applyNumberFormat="1" applyFont="1"/>
    <xf numFmtId="0" fontId="13" fillId="6" borderId="0" xfId="11" applyFont="1" applyFill="1" applyAlignment="1" applyProtection="1"/>
    <xf numFmtId="0" fontId="5" fillId="6" borderId="0" xfId="3" applyFont="1" applyFill="1"/>
    <xf numFmtId="4" fontId="5" fillId="6" borderId="0" xfId="3" applyNumberFormat="1" applyFont="1" applyFill="1"/>
    <xf numFmtId="170" fontId="5" fillId="6" borderId="0" xfId="3" applyNumberFormat="1" applyFont="1" applyFill="1"/>
    <xf numFmtId="43" fontId="5" fillId="6" borderId="0" xfId="4" applyFont="1" applyFill="1"/>
    <xf numFmtId="169" fontId="5" fillId="6" borderId="0" xfId="3" applyNumberFormat="1" applyFont="1" applyFill="1"/>
    <xf numFmtId="168" fontId="13" fillId="6" borderId="0" xfId="11" applyNumberFormat="1" applyFill="1" applyAlignment="1" applyProtection="1"/>
    <xf numFmtId="167" fontId="5" fillId="6" borderId="0" xfId="3" applyNumberFormat="1" applyFont="1" applyFill="1"/>
    <xf numFmtId="169" fontId="5" fillId="0" borderId="0" xfId="3" applyNumberFormat="1" applyFont="1"/>
    <xf numFmtId="170" fontId="5" fillId="2" borderId="7" xfId="3" applyNumberFormat="1" applyFont="1" applyFill="1" applyBorder="1"/>
    <xf numFmtId="170" fontId="5" fillId="2" borderId="0" xfId="3" applyNumberFormat="1" applyFont="1" applyFill="1" applyBorder="1"/>
    <xf numFmtId="177" fontId="5" fillId="7" borderId="0" xfId="5" applyNumberFormat="1" applyFont="1" applyFill="1" applyBorder="1"/>
    <xf numFmtId="0" fontId="3" fillId="7" borderId="0" xfId="3" applyFill="1" applyAlignment="1">
      <alignment wrapText="1"/>
    </xf>
    <xf numFmtId="177" fontId="5" fillId="6" borderId="0" xfId="5" applyNumberFormat="1" applyFont="1" applyFill="1" applyBorder="1" applyAlignment="1">
      <alignment horizontal="right"/>
    </xf>
    <xf numFmtId="2" fontId="5" fillId="8" borderId="0" xfId="3" applyNumberFormat="1" applyFont="1" applyFill="1" applyAlignment="1">
      <alignment horizontal="left" wrapText="1"/>
    </xf>
    <xf numFmtId="0" fontId="3" fillId="0" borderId="0" xfId="3" applyAlignment="1">
      <alignment wrapText="1"/>
    </xf>
    <xf numFmtId="2" fontId="5" fillId="8" borderId="0" xfId="5" applyNumberFormat="1" applyFont="1" applyFill="1" applyBorder="1" applyAlignment="1">
      <alignment horizontal="left" wrapText="1"/>
    </xf>
    <xf numFmtId="0" fontId="5" fillId="9" borderId="0" xfId="3" applyFont="1" applyFill="1"/>
    <xf numFmtId="177" fontId="5" fillId="9" borderId="0" xfId="5" applyNumberFormat="1" applyFont="1" applyFill="1" applyBorder="1" applyAlignment="1">
      <alignment horizontal="right"/>
    </xf>
    <xf numFmtId="0" fontId="13" fillId="9" borderId="0" xfId="11" applyFont="1" applyFill="1" applyAlignment="1" applyProtection="1"/>
    <xf numFmtId="4" fontId="5" fillId="9" borderId="0" xfId="3" applyNumberFormat="1" applyFont="1" applyFill="1"/>
    <xf numFmtId="170" fontId="5" fillId="9" borderId="0" xfId="3" applyNumberFormat="1" applyFont="1" applyFill="1"/>
    <xf numFmtId="43" fontId="5" fillId="9" borderId="0" xfId="4" applyFont="1" applyFill="1"/>
    <xf numFmtId="168" fontId="13" fillId="9" borderId="0" xfId="11" applyNumberFormat="1" applyFill="1" applyAlignment="1" applyProtection="1"/>
    <xf numFmtId="167" fontId="5" fillId="9" borderId="0" xfId="3" applyNumberFormat="1" applyFont="1" applyFill="1"/>
    <xf numFmtId="165" fontId="5" fillId="2" borderId="16" xfId="3" applyNumberFormat="1" applyFont="1" applyFill="1" applyBorder="1"/>
    <xf numFmtId="167" fontId="5" fillId="0" borderId="10" xfId="3" applyNumberFormat="1" applyFont="1" applyBorder="1" applyAlignment="1">
      <alignment horizontal="left"/>
    </xf>
    <xf numFmtId="0" fontId="5" fillId="0" borderId="11" xfId="3" applyFont="1" applyBorder="1"/>
    <xf numFmtId="180" fontId="5" fillId="0" borderId="11" xfId="3" applyNumberFormat="1" applyFont="1" applyBorder="1"/>
    <xf numFmtId="0" fontId="4" fillId="0" borderId="3" xfId="3" applyNumberFormat="1" applyFont="1" applyFill="1" applyBorder="1" applyAlignment="1">
      <alignment horizontal="right"/>
    </xf>
    <xf numFmtId="180" fontId="5" fillId="0" borderId="0" xfId="3" applyNumberFormat="1" applyFont="1"/>
    <xf numFmtId="0" fontId="13" fillId="0" borderId="0" xfId="11" applyFont="1" applyAlignment="1" applyProtection="1"/>
    <xf numFmtId="0" fontId="5" fillId="0" borderId="10" xfId="3" applyFont="1" applyBorder="1"/>
    <xf numFmtId="181" fontId="5" fillId="0" borderId="11" xfId="4" applyNumberFormat="1" applyFont="1" applyBorder="1"/>
    <xf numFmtId="181" fontId="5" fillId="0" borderId="11" xfId="4" applyNumberFormat="1" applyFont="1" applyFill="1" applyBorder="1"/>
    <xf numFmtId="173" fontId="5" fillId="0" borderId="11" xfId="4" applyNumberFormat="1" applyFont="1" applyFill="1" applyBorder="1"/>
    <xf numFmtId="173" fontId="5" fillId="0" borderId="11" xfId="4" applyNumberFormat="1" applyFont="1" applyFill="1" applyBorder="1" applyAlignment="1">
      <alignment horizontal="center"/>
    </xf>
    <xf numFmtId="173" fontId="5" fillId="0" borderId="12" xfId="4" applyNumberFormat="1" applyFont="1" applyFill="1" applyBorder="1" applyAlignment="1">
      <alignment horizontal="center"/>
    </xf>
    <xf numFmtId="170" fontId="5" fillId="0" borderId="0" xfId="3" applyNumberFormat="1" applyFont="1" applyFill="1"/>
    <xf numFmtId="43" fontId="5" fillId="0" borderId="0" xfId="4" applyFont="1" applyFill="1"/>
    <xf numFmtId="164" fontId="5" fillId="0" borderId="0" xfId="3" applyNumberFormat="1" applyFont="1"/>
    <xf numFmtId="0" fontId="5" fillId="0" borderId="4" xfId="3" applyFont="1" applyBorder="1"/>
    <xf numFmtId="181" fontId="5" fillId="0" borderId="0" xfId="4" applyNumberFormat="1" applyFont="1" applyBorder="1"/>
    <xf numFmtId="181" fontId="5" fillId="0" borderId="0" xfId="4" applyNumberFormat="1" applyFont="1" applyFill="1" applyBorder="1"/>
    <xf numFmtId="173" fontId="5" fillId="0" borderId="0" xfId="4" applyNumberFormat="1" applyFont="1" applyFill="1" applyBorder="1" applyAlignment="1">
      <alignment horizontal="center"/>
    </xf>
    <xf numFmtId="173" fontId="5" fillId="0" borderId="5" xfId="4" applyNumberFormat="1" applyFont="1" applyFill="1" applyBorder="1" applyAlignment="1">
      <alignment horizontal="center"/>
    </xf>
    <xf numFmtId="165" fontId="6" fillId="0" borderId="0" xfId="3" applyNumberFormat="1" applyFont="1" applyFill="1"/>
    <xf numFmtId="44" fontId="14" fillId="0" borderId="0" xfId="3" applyNumberFormat="1" applyFont="1" applyFill="1"/>
    <xf numFmtId="0" fontId="5" fillId="0" borderId="0" xfId="3" applyFont="1" applyBorder="1"/>
    <xf numFmtId="173" fontId="5" fillId="0" borderId="0" xfId="3" applyNumberFormat="1" applyFont="1" applyBorder="1" applyAlignment="1">
      <alignment horizontal="center"/>
    </xf>
    <xf numFmtId="173" fontId="5" fillId="0" borderId="5" xfId="3" applyNumberFormat="1" applyFont="1" applyBorder="1" applyAlignment="1">
      <alignment horizontal="center"/>
    </xf>
    <xf numFmtId="166" fontId="5" fillId="0" borderId="0" xfId="3" applyNumberFormat="1" applyFont="1" applyFill="1"/>
    <xf numFmtId="0" fontId="6" fillId="0" borderId="4" xfId="3" applyFont="1" applyBorder="1"/>
    <xf numFmtId="164" fontId="5" fillId="0" borderId="0" xfId="3" applyNumberFormat="1" applyFont="1" applyFill="1"/>
    <xf numFmtId="174" fontId="5" fillId="0" borderId="0" xfId="3" applyNumberFormat="1" applyFont="1" applyFill="1"/>
    <xf numFmtId="181" fontId="5" fillId="0" borderId="7" xfId="4" applyNumberFormat="1" applyFont="1" applyBorder="1"/>
    <xf numFmtId="181" fontId="5" fillId="0" borderId="7" xfId="4" applyNumberFormat="1" applyFont="1" applyFill="1" applyBorder="1"/>
    <xf numFmtId="174" fontId="5" fillId="0" borderId="7" xfId="4" applyNumberFormat="1" applyFont="1" applyFill="1" applyBorder="1"/>
    <xf numFmtId="173" fontId="5" fillId="0" borderId="7" xfId="4" applyNumberFormat="1" applyFont="1" applyFill="1" applyBorder="1" applyAlignment="1">
      <alignment horizontal="center"/>
    </xf>
    <xf numFmtId="173" fontId="5" fillId="0" borderId="8" xfId="4" applyNumberFormat="1" applyFont="1" applyFill="1" applyBorder="1" applyAlignment="1">
      <alignment horizontal="center"/>
    </xf>
    <xf numFmtId="173" fontId="5" fillId="0" borderId="0" xfId="3" applyNumberFormat="1" applyFont="1" applyFill="1" applyBorder="1" applyAlignment="1">
      <alignment horizontal="center"/>
    </xf>
    <xf numFmtId="173" fontId="5" fillId="0" borderId="2" xfId="3" applyNumberFormat="1" applyFont="1" applyFill="1" applyBorder="1" applyAlignment="1">
      <alignment horizontal="center"/>
    </xf>
    <xf numFmtId="173" fontId="5" fillId="0" borderId="5" xfId="3" applyNumberFormat="1" applyFont="1" applyFill="1" applyBorder="1" applyAlignment="1">
      <alignment horizontal="center"/>
    </xf>
    <xf numFmtId="0" fontId="6" fillId="0" borderId="6" xfId="3" applyFont="1" applyBorder="1"/>
    <xf numFmtId="179" fontId="5" fillId="0" borderId="7" xfId="3" applyNumberFormat="1" applyFont="1" applyBorder="1"/>
    <xf numFmtId="179" fontId="5" fillId="0" borderId="2" xfId="3" applyNumberFormat="1" applyFont="1" applyBorder="1"/>
    <xf numFmtId="179" fontId="5" fillId="0" borderId="2" xfId="3" applyNumberFormat="1" applyFont="1" applyFill="1" applyBorder="1"/>
    <xf numFmtId="174" fontId="5" fillId="2" borderId="2" xfId="3" applyNumberFormat="1" applyFont="1" applyFill="1" applyBorder="1"/>
    <xf numFmtId="174" fontId="5" fillId="0" borderId="2" xfId="3" applyNumberFormat="1" applyFont="1" applyFill="1" applyBorder="1"/>
    <xf numFmtId="173" fontId="6" fillId="0" borderId="2" xfId="3" applyNumberFormat="1" applyFont="1" applyFill="1" applyBorder="1" applyAlignment="1">
      <alignment horizontal="center"/>
    </xf>
    <xf numFmtId="173" fontId="6" fillId="0" borderId="3" xfId="3" applyNumberFormat="1" applyFont="1" applyFill="1" applyBorder="1" applyAlignment="1">
      <alignment horizontal="center"/>
    </xf>
    <xf numFmtId="179" fontId="5" fillId="0" borderId="0" xfId="3" applyNumberFormat="1" applyFont="1" applyFill="1"/>
    <xf numFmtId="167" fontId="15" fillId="0" borderId="0" xfId="3" applyNumberFormat="1" applyFont="1"/>
    <xf numFmtId="0" fontId="15" fillId="0" borderId="0" xfId="3" applyFont="1"/>
    <xf numFmtId="43" fontId="15" fillId="0" borderId="0" xfId="4" applyFont="1"/>
    <xf numFmtId="10" fontId="5" fillId="0" borderId="0" xfId="3" applyNumberFormat="1" applyFont="1"/>
    <xf numFmtId="170" fontId="5" fillId="0" borderId="0" xfId="4" applyNumberFormat="1" applyFont="1"/>
    <xf numFmtId="0" fontId="6" fillId="0" borderId="0" xfId="3" applyFont="1" applyAlignment="1">
      <alignment horizontal="center"/>
    </xf>
    <xf numFmtId="14" fontId="5" fillId="0" borderId="17" xfId="3" applyNumberFormat="1" applyFont="1" applyBorder="1"/>
    <xf numFmtId="0" fontId="17" fillId="0" borderId="17" xfId="3" applyFont="1" applyBorder="1"/>
    <xf numFmtId="0" fontId="5" fillId="2" borderId="3" xfId="3" applyFont="1" applyFill="1" applyBorder="1" applyAlignment="1">
      <alignment horizontal="center"/>
    </xf>
    <xf numFmtId="0" fontId="5" fillId="0" borderId="17" xfId="3" applyFont="1" applyBorder="1"/>
    <xf numFmtId="0" fontId="18" fillId="0" borderId="0" xfId="3" applyFont="1"/>
    <xf numFmtId="0" fontId="9" fillId="0" borderId="0" xfId="3" applyFont="1"/>
    <xf numFmtId="168" fontId="18" fillId="0" borderId="0" xfId="3" applyNumberFormat="1" applyFont="1"/>
    <xf numFmtId="0" fontId="9" fillId="0" borderId="0" xfId="3" applyFont="1" applyAlignment="1">
      <alignment wrapText="1"/>
    </xf>
    <xf numFmtId="167" fontId="18" fillId="0" borderId="18" xfId="3" applyNumberFormat="1" applyFont="1" applyBorder="1"/>
    <xf numFmtId="167" fontId="18" fillId="0" borderId="0" xfId="3" applyNumberFormat="1" applyFont="1" applyBorder="1"/>
    <xf numFmtId="1" fontId="5" fillId="0" borderId="0" xfId="3" applyNumberFormat="1" applyFont="1"/>
    <xf numFmtId="2" fontId="0" fillId="0" borderId="0" xfId="0" applyNumberFormat="1"/>
    <xf numFmtId="1" fontId="0" fillId="0" borderId="0" xfId="0" applyNumberFormat="1"/>
    <xf numFmtId="0" fontId="0" fillId="0" borderId="11" xfId="0" applyBorder="1"/>
    <xf numFmtId="0" fontId="0" fillId="0" borderId="12" xfId="0" applyBorder="1"/>
    <xf numFmtId="0" fontId="0" fillId="0" borderId="5" xfId="0" applyBorder="1"/>
    <xf numFmtId="9" fontId="0" fillId="0" borderId="0" xfId="2" applyFont="1"/>
    <xf numFmtId="0" fontId="2" fillId="0" borderId="4" xfId="0" applyFont="1" applyBorder="1"/>
    <xf numFmtId="0" fontId="2" fillId="10" borderId="19" xfId="0" applyFont="1" applyFill="1" applyBorder="1"/>
    <xf numFmtId="0" fontId="2" fillId="11" borderId="19" xfId="0" applyFont="1" applyFill="1" applyBorder="1" applyAlignment="1">
      <alignment horizontal="right"/>
    </xf>
    <xf numFmtId="0" fontId="5" fillId="0" borderId="0" xfId="3" applyNumberFormat="1" applyFont="1"/>
    <xf numFmtId="0" fontId="6" fillId="0" borderId="0" xfId="3" applyNumberFormat="1" applyFont="1"/>
    <xf numFmtId="175" fontId="5" fillId="0" borderId="0" xfId="3" applyNumberFormat="1" applyFont="1"/>
    <xf numFmtId="171" fontId="5" fillId="0" borderId="0" xfId="3" applyNumberFormat="1" applyFont="1"/>
    <xf numFmtId="0" fontId="0" fillId="0" borderId="0" xfId="0" pivotButton="1"/>
    <xf numFmtId="0" fontId="2" fillId="0" borderId="0" xfId="0" applyNumberFormat="1" applyFont="1" applyFill="1" applyBorder="1"/>
    <xf numFmtId="170" fontId="5" fillId="0" borderId="0" xfId="1" applyFont="1"/>
    <xf numFmtId="0" fontId="23" fillId="0" borderId="0" xfId="12"/>
    <xf numFmtId="0" fontId="6" fillId="0" borderId="0" xfId="12" applyFont="1"/>
    <xf numFmtId="0" fontId="3" fillId="0" borderId="0" xfId="12" applyFont="1"/>
    <xf numFmtId="0" fontId="3" fillId="0" borderId="0" xfId="12" applyFont="1" applyFill="1" applyBorder="1"/>
    <xf numFmtId="3" fontId="3" fillId="0" borderId="0" xfId="12" applyNumberFormat="1" applyFont="1" applyAlignment="1">
      <alignment horizontal="right"/>
    </xf>
    <xf numFmtId="3" fontId="3" fillId="0" borderId="13" xfId="12" applyNumberFormat="1" applyFont="1" applyBorder="1" applyAlignment="1">
      <alignment horizontal="right"/>
    </xf>
    <xf numFmtId="3" fontId="3" fillId="0" borderId="13" xfId="13" applyNumberFormat="1" applyFont="1" applyBorder="1" applyAlignment="1">
      <alignment horizontal="right"/>
    </xf>
    <xf numFmtId="0" fontId="11" fillId="0" borderId="0" xfId="12" applyFont="1" applyFill="1"/>
    <xf numFmtId="4" fontId="6" fillId="0" borderId="0" xfId="12" applyNumberFormat="1" applyFont="1" applyAlignment="1">
      <alignment horizontal="right"/>
    </xf>
    <xf numFmtId="169" fontId="12" fillId="0" borderId="0" xfId="12" applyNumberFormat="1" applyFont="1"/>
    <xf numFmtId="169" fontId="10" fillId="0" borderId="0" xfId="12" applyNumberFormat="1" applyFont="1" applyAlignment="1">
      <alignment horizontal="right"/>
    </xf>
    <xf numFmtId="169" fontId="3" fillId="0" borderId="0" xfId="12" applyNumberFormat="1" applyFont="1"/>
    <xf numFmtId="0" fontId="3" fillId="0" borderId="0" xfId="12" applyFont="1" applyFill="1"/>
    <xf numFmtId="165" fontId="6" fillId="0" borderId="0" xfId="12" applyNumberFormat="1" applyFont="1" applyFill="1"/>
    <xf numFmtId="44" fontId="14" fillId="0" borderId="0" xfId="12" applyNumberFormat="1" applyFont="1" applyFill="1"/>
    <xf numFmtId="0" fontId="6" fillId="0" borderId="0" xfId="12" applyFont="1" applyAlignment="1">
      <alignment horizontal="right"/>
    </xf>
    <xf numFmtId="169" fontId="3" fillId="0" borderId="16" xfId="12" applyNumberFormat="1" applyFont="1" applyBorder="1" applyAlignment="1">
      <alignment horizontal="right"/>
    </xf>
    <xf numFmtId="169" fontId="3" fillId="0" borderId="0" xfId="12" applyNumberFormat="1" applyFont="1" applyAlignment="1">
      <alignment horizontal="right"/>
    </xf>
    <xf numFmtId="43" fontId="3" fillId="0" borderId="13" xfId="13" applyFont="1" applyBorder="1" applyAlignment="1"/>
    <xf numFmtId="0" fontId="7" fillId="0" borderId="0" xfId="12" applyFont="1" applyBorder="1" applyAlignment="1"/>
    <xf numFmtId="0" fontId="8" fillId="0" borderId="0" xfId="12" applyFont="1" applyBorder="1" applyAlignment="1"/>
    <xf numFmtId="168" fontId="8" fillId="0" borderId="0" xfId="12" applyNumberFormat="1" applyFont="1" applyBorder="1" applyAlignment="1">
      <alignment horizontal="left"/>
    </xf>
    <xf numFmtId="168" fontId="4" fillId="0" borderId="2" xfId="12" quotePrefix="1" applyNumberFormat="1" applyFont="1" applyBorder="1" applyAlignment="1">
      <alignment horizontal="center"/>
    </xf>
    <xf numFmtId="0" fontId="4" fillId="0" borderId="2" xfId="12" applyNumberFormat="1" applyFont="1" applyBorder="1" applyAlignment="1">
      <alignment horizontal="center"/>
    </xf>
    <xf numFmtId="16" fontId="4" fillId="0" borderId="2" xfId="12" applyNumberFormat="1" applyFont="1" applyBorder="1" applyAlignment="1">
      <alignment horizontal="center"/>
    </xf>
    <xf numFmtId="0" fontId="4" fillId="0" borderId="2" xfId="12" applyNumberFormat="1" applyFont="1" applyBorder="1" applyAlignment="1">
      <alignment horizontal="right"/>
    </xf>
    <xf numFmtId="168" fontId="7" fillId="0" borderId="0" xfId="12" applyNumberFormat="1" applyFont="1" applyBorder="1" applyAlignment="1"/>
    <xf numFmtId="168" fontId="8" fillId="0" borderId="0" xfId="12" applyNumberFormat="1" applyFont="1" applyBorder="1" applyAlignment="1"/>
    <xf numFmtId="168" fontId="8" fillId="0" borderId="0" xfId="12" applyNumberFormat="1" applyFont="1" applyBorder="1" applyAlignment="1">
      <alignment horizontal="right"/>
    </xf>
    <xf numFmtId="168" fontId="8" fillId="0" borderId="0" xfId="14" applyNumberFormat="1" applyFont="1" applyBorder="1" applyAlignment="1">
      <alignment horizontal="right"/>
    </xf>
    <xf numFmtId="168" fontId="8" fillId="0" borderId="0" xfId="14" applyNumberFormat="1" applyFont="1" applyFill="1" applyBorder="1" applyAlignment="1">
      <alignment horizontal="right"/>
    </xf>
    <xf numFmtId="175" fontId="8" fillId="0" borderId="0" xfId="14" applyNumberFormat="1" applyFont="1" applyFill="1" applyBorder="1" applyAlignment="1">
      <alignment horizontal="right"/>
    </xf>
    <xf numFmtId="175" fontId="8" fillId="0" borderId="0" xfId="12" applyNumberFormat="1" applyFont="1" applyFill="1" applyBorder="1" applyAlignment="1">
      <alignment horizontal="right"/>
    </xf>
    <xf numFmtId="168" fontId="8" fillId="0" borderId="0" xfId="12" applyNumberFormat="1" applyFont="1" applyFill="1" applyBorder="1" applyAlignment="1">
      <alignment horizontal="right"/>
    </xf>
    <xf numFmtId="168" fontId="8" fillId="0" borderId="13" xfId="12" applyNumberFormat="1" applyFont="1" applyBorder="1" applyAlignment="1">
      <alignment horizontal="right"/>
    </xf>
    <xf numFmtId="168" fontId="8" fillId="0" borderId="13" xfId="12" applyNumberFormat="1" applyFont="1" applyFill="1" applyBorder="1" applyAlignment="1">
      <alignment horizontal="right"/>
    </xf>
    <xf numFmtId="168" fontId="4" fillId="0" borderId="13" xfId="12" applyNumberFormat="1" applyFont="1" applyBorder="1" applyAlignment="1">
      <alignment horizontal="right"/>
    </xf>
    <xf numFmtId="168" fontId="8" fillId="0" borderId="13" xfId="12" applyNumberFormat="1" applyFont="1" applyBorder="1" applyAlignment="1"/>
    <xf numFmtId="168" fontId="8" fillId="0" borderId="13" xfId="12" applyNumberFormat="1" applyFont="1" applyFill="1" applyBorder="1" applyAlignment="1"/>
    <xf numFmtId="164" fontId="8" fillId="0" borderId="13" xfId="12" applyNumberFormat="1" applyFont="1" applyFill="1" applyBorder="1" applyAlignment="1"/>
    <xf numFmtId="164" fontId="4" fillId="0" borderId="13" xfId="12" applyNumberFormat="1" applyFont="1" applyFill="1" applyBorder="1" applyAlignment="1"/>
    <xf numFmtId="164" fontId="4" fillId="0" borderId="13" xfId="12" applyNumberFormat="1" applyFont="1" applyFill="1" applyBorder="1" applyAlignment="1">
      <alignment horizontal="right"/>
    </xf>
    <xf numFmtId="0" fontId="8" fillId="0" borderId="0" xfId="12" applyFont="1" applyBorder="1" applyAlignment="1">
      <alignment horizontal="right"/>
    </xf>
    <xf numFmtId="167" fontId="8" fillId="0" borderId="0" xfId="12" applyNumberFormat="1" applyFont="1" applyBorder="1" applyAlignment="1">
      <alignment horizontal="right"/>
    </xf>
    <xf numFmtId="0" fontId="4" fillId="0" borderId="0" xfId="12" applyFont="1" applyBorder="1" applyAlignment="1">
      <alignment horizontal="right"/>
    </xf>
    <xf numFmtId="169" fontId="8" fillId="0" borderId="0" xfId="14" applyNumberFormat="1" applyFont="1" applyBorder="1" applyAlignment="1">
      <alignment horizontal="right"/>
    </xf>
    <xf numFmtId="169" fontId="8" fillId="0" borderId="0" xfId="14" applyNumberFormat="1" applyFont="1" applyFill="1" applyBorder="1" applyAlignment="1">
      <alignment horizontal="right"/>
    </xf>
    <xf numFmtId="44" fontId="8" fillId="0" borderId="0" xfId="14" applyFont="1" applyAlignment="1">
      <alignment horizontal="right"/>
    </xf>
    <xf numFmtId="44" fontId="8" fillId="0" borderId="0" xfId="14" applyFont="1" applyFill="1" applyAlignment="1">
      <alignment horizontal="right"/>
    </xf>
    <xf numFmtId="165" fontId="8" fillId="0" borderId="0" xfId="14" applyNumberFormat="1" applyFont="1" applyFill="1" applyAlignment="1">
      <alignment horizontal="right"/>
    </xf>
    <xf numFmtId="165" fontId="4" fillId="0" borderId="16" xfId="14" applyNumberFormat="1" applyFont="1" applyFill="1" applyBorder="1" applyAlignment="1">
      <alignment horizontal="right"/>
    </xf>
    <xf numFmtId="165" fontId="4" fillId="0" borderId="16" xfId="12" applyNumberFormat="1" applyFont="1" applyBorder="1" applyAlignment="1">
      <alignment horizontal="right"/>
    </xf>
    <xf numFmtId="165" fontId="4" fillId="0" borderId="16" xfId="12" applyNumberFormat="1" applyFont="1" applyFill="1" applyBorder="1" applyAlignment="1">
      <alignment horizontal="right"/>
    </xf>
    <xf numFmtId="4" fontId="3" fillId="0" borderId="0" xfId="12" applyNumberFormat="1" applyFont="1"/>
    <xf numFmtId="170" fontId="3" fillId="0" borderId="0" xfId="12" applyNumberFormat="1" applyFont="1"/>
    <xf numFmtId="43" fontId="3" fillId="0" borderId="0" xfId="13" applyFont="1"/>
    <xf numFmtId="0" fontId="3" fillId="0" borderId="0" xfId="12" applyNumberFormat="1" applyFont="1"/>
    <xf numFmtId="0" fontId="3" fillId="0" borderId="14" xfId="12" applyFont="1" applyBorder="1" applyAlignment="1">
      <alignment wrapText="1"/>
    </xf>
    <xf numFmtId="0" fontId="3" fillId="0" borderId="14" xfId="12" applyFont="1" applyBorder="1" applyAlignment="1">
      <alignment horizontal="center" wrapText="1"/>
    </xf>
    <xf numFmtId="0" fontId="3" fillId="0" borderId="0" xfId="12" applyFont="1" applyAlignment="1">
      <alignment horizontal="center" wrapText="1"/>
    </xf>
    <xf numFmtId="0" fontId="3" fillId="0" borderId="0" xfId="12" applyFont="1" applyAlignment="1">
      <alignment horizontal="left" wrapText="1"/>
    </xf>
    <xf numFmtId="4" fontId="3" fillId="0" borderId="0" xfId="12" applyNumberFormat="1" applyFont="1" applyAlignment="1">
      <alignment horizontal="left" wrapText="1"/>
    </xf>
    <xf numFmtId="4" fontId="3" fillId="0" borderId="0" xfId="12" applyNumberFormat="1" applyFont="1" applyAlignment="1">
      <alignment horizontal="center" wrapText="1"/>
    </xf>
    <xf numFmtId="170" fontId="3" fillId="0" borderId="0" xfId="12" applyNumberFormat="1" applyFont="1" applyAlignment="1">
      <alignment horizontal="left" wrapText="1"/>
    </xf>
    <xf numFmtId="0" fontId="3" fillId="0" borderId="0" xfId="12" applyFont="1" applyAlignment="1">
      <alignment horizontal="left"/>
    </xf>
    <xf numFmtId="0" fontId="3" fillId="0" borderId="0" xfId="12" applyFont="1" applyAlignment="1">
      <alignment horizontal="left" vertical="top" wrapText="1"/>
    </xf>
    <xf numFmtId="0" fontId="3" fillId="0" borderId="0" xfId="12" applyFont="1" applyFill="1" applyAlignment="1">
      <alignment horizontal="right"/>
    </xf>
    <xf numFmtId="0" fontId="3" fillId="0" borderId="0" xfId="12" applyFont="1" applyAlignment="1">
      <alignment horizontal="right"/>
    </xf>
    <xf numFmtId="176" fontId="3" fillId="0" borderId="0" xfId="12" applyNumberFormat="1" applyFont="1" applyAlignment="1">
      <alignment horizontal="right"/>
    </xf>
    <xf numFmtId="4" fontId="3" fillId="0" borderId="0" xfId="12" applyNumberFormat="1" applyFont="1" applyAlignment="1">
      <alignment horizontal="right"/>
    </xf>
    <xf numFmtId="170" fontId="3" fillId="0" borderId="0" xfId="12" applyNumberFormat="1" applyFont="1" applyAlignment="1">
      <alignment horizontal="right"/>
    </xf>
    <xf numFmtId="43" fontId="3" fillId="0" borderId="0" xfId="13" applyFont="1" applyAlignment="1">
      <alignment horizontal="right"/>
    </xf>
    <xf numFmtId="0" fontId="3" fillId="0" borderId="13" xfId="12" applyFont="1" applyFill="1" applyBorder="1" applyAlignment="1">
      <alignment horizontal="right"/>
    </xf>
    <xf numFmtId="0" fontId="3" fillId="0" borderId="13" xfId="12" applyFont="1" applyBorder="1" applyAlignment="1">
      <alignment horizontal="right"/>
    </xf>
    <xf numFmtId="176" fontId="3" fillId="0" borderId="13" xfId="12" applyNumberFormat="1" applyFont="1" applyBorder="1" applyAlignment="1">
      <alignment horizontal="right"/>
    </xf>
    <xf numFmtId="4" fontId="3" fillId="0" borderId="13" xfId="12" applyNumberFormat="1" applyFont="1" applyBorder="1" applyAlignment="1">
      <alignment horizontal="right"/>
    </xf>
    <xf numFmtId="170" fontId="3" fillId="0" borderId="13" xfId="12" applyNumberFormat="1" applyFont="1" applyBorder="1" applyAlignment="1">
      <alignment horizontal="right"/>
    </xf>
    <xf numFmtId="43" fontId="3" fillId="0" borderId="13" xfId="13" applyFont="1" applyBorder="1" applyAlignment="1">
      <alignment horizontal="right"/>
    </xf>
    <xf numFmtId="169" fontId="3" fillId="0" borderId="13" xfId="12" applyNumberFormat="1" applyFont="1" applyBorder="1" applyAlignment="1">
      <alignment horizontal="right"/>
    </xf>
    <xf numFmtId="3" fontId="3" fillId="0" borderId="13" xfId="12" applyNumberFormat="1" applyFont="1" applyBorder="1" applyAlignment="1"/>
    <xf numFmtId="0" fontId="3" fillId="0" borderId="13" xfId="12" applyFont="1" applyFill="1" applyBorder="1" applyAlignment="1"/>
    <xf numFmtId="0" fontId="3" fillId="0" borderId="13" xfId="12" applyFont="1" applyBorder="1" applyAlignment="1"/>
    <xf numFmtId="176" fontId="3" fillId="0" borderId="13" xfId="12" applyNumberFormat="1" applyFont="1" applyBorder="1" applyAlignment="1"/>
    <xf numFmtId="4" fontId="3" fillId="0" borderId="13" xfId="12" applyNumberFormat="1" applyFont="1" applyBorder="1" applyAlignment="1"/>
    <xf numFmtId="170" fontId="3" fillId="0" borderId="13" xfId="12" applyNumberFormat="1" applyFont="1" applyBorder="1" applyAlignment="1"/>
    <xf numFmtId="170" fontId="3" fillId="0" borderId="0" xfId="12" applyNumberFormat="1" applyFont="1" applyFill="1" applyAlignment="1">
      <alignment horizontal="right"/>
    </xf>
    <xf numFmtId="170" fontId="3" fillId="5" borderId="0" xfId="12" applyNumberFormat="1" applyFont="1" applyFill="1" applyAlignment="1">
      <alignment horizontal="right"/>
    </xf>
    <xf numFmtId="0" fontId="3" fillId="5" borderId="0" xfId="12" applyFont="1" applyFill="1" applyAlignment="1">
      <alignment horizontal="right"/>
    </xf>
    <xf numFmtId="0" fontId="8" fillId="0" borderId="0" xfId="12" applyFont="1" applyBorder="1"/>
    <xf numFmtId="177" fontId="8" fillId="0" borderId="0" xfId="14" applyNumberFormat="1" applyFont="1" applyBorder="1"/>
    <xf numFmtId="44" fontId="3" fillId="0" borderId="0" xfId="14" applyFont="1" applyFill="1" applyAlignment="1">
      <alignment horizontal="right"/>
    </xf>
    <xf numFmtId="178" fontId="3" fillId="0" borderId="0" xfId="12" applyNumberFormat="1" applyFont="1" applyAlignment="1">
      <alignment horizontal="right"/>
    </xf>
    <xf numFmtId="4" fontId="3" fillId="0" borderId="0" xfId="12" applyNumberFormat="1" applyFont="1" applyFill="1"/>
    <xf numFmtId="167" fontId="3" fillId="0" borderId="0" xfId="12" applyNumberFormat="1" applyFont="1" applyBorder="1" applyAlignment="1">
      <alignment horizontal="left"/>
    </xf>
    <xf numFmtId="180" fontId="3" fillId="0" borderId="0" xfId="12" applyNumberFormat="1" applyFont="1"/>
    <xf numFmtId="181" fontId="3" fillId="0" borderId="0" xfId="13" applyNumberFormat="1" applyFont="1"/>
    <xf numFmtId="181" fontId="3" fillId="0" borderId="0" xfId="13" applyNumberFormat="1" applyFont="1" applyFill="1"/>
    <xf numFmtId="170" fontId="3" fillId="0" borderId="0" xfId="12" applyNumberFormat="1" applyFont="1" applyFill="1"/>
    <xf numFmtId="43" fontId="3" fillId="0" borderId="0" xfId="13" applyFont="1" applyFill="1"/>
    <xf numFmtId="181" fontId="3" fillId="0" borderId="7" xfId="13" applyNumberFormat="1" applyFont="1" applyBorder="1"/>
    <xf numFmtId="181" fontId="3" fillId="0" borderId="7" xfId="13" applyNumberFormat="1" applyFont="1" applyFill="1" applyBorder="1"/>
    <xf numFmtId="179" fontId="3" fillId="0" borderId="9" xfId="12" applyNumberFormat="1" applyFont="1" applyBorder="1"/>
    <xf numFmtId="179" fontId="3" fillId="0" borderId="2" xfId="12" applyNumberFormat="1" applyFont="1" applyBorder="1"/>
    <xf numFmtId="179" fontId="3" fillId="0" borderId="2" xfId="12" applyNumberFormat="1" applyFont="1" applyFill="1" applyBorder="1"/>
    <xf numFmtId="179" fontId="3" fillId="0" borderId="0" xfId="12" applyNumberFormat="1" applyFont="1"/>
    <xf numFmtId="0" fontId="13" fillId="0" borderId="0" xfId="11" applyFont="1" applyAlignment="1" applyProtection="1"/>
    <xf numFmtId="168" fontId="3" fillId="0" borderId="0" xfId="12" applyNumberFormat="1" applyFont="1"/>
    <xf numFmtId="168" fontId="3" fillId="0" borderId="0" xfId="12" applyNumberFormat="1" applyFont="1" applyAlignment="1">
      <alignment horizontal="left" wrapText="1"/>
    </xf>
    <xf numFmtId="168" fontId="3" fillId="0" borderId="0" xfId="12" applyNumberFormat="1" applyFont="1" applyAlignment="1">
      <alignment horizontal="right"/>
    </xf>
    <xf numFmtId="168" fontId="3" fillId="0" borderId="13" xfId="12" applyNumberFormat="1" applyFont="1" applyBorder="1" applyAlignment="1">
      <alignment horizontal="right"/>
    </xf>
    <xf numFmtId="168" fontId="4" fillId="0" borderId="15" xfId="12" applyNumberFormat="1" applyFont="1" applyFill="1" applyBorder="1" applyAlignment="1">
      <alignment horizontal="right"/>
    </xf>
    <xf numFmtId="167" fontId="3" fillId="0" borderId="0" xfId="12" applyNumberFormat="1" applyFont="1"/>
    <xf numFmtId="167" fontId="3" fillId="0" borderId="0" xfId="12" applyNumberFormat="1" applyFont="1" applyAlignment="1">
      <alignment horizontal="left" wrapText="1"/>
    </xf>
    <xf numFmtId="167" fontId="3" fillId="0" borderId="0" xfId="12" applyNumberFormat="1" applyFont="1" applyAlignment="1">
      <alignment horizontal="right"/>
    </xf>
    <xf numFmtId="167" fontId="3" fillId="0" borderId="13" xfId="12" applyNumberFormat="1" applyFont="1" applyBorder="1" applyAlignment="1">
      <alignment horizontal="right"/>
    </xf>
    <xf numFmtId="167" fontId="4" fillId="0" borderId="15" xfId="12" applyNumberFormat="1" applyFont="1" applyFill="1" applyBorder="1" applyAlignment="1">
      <alignment horizontal="right"/>
    </xf>
    <xf numFmtId="177" fontId="3" fillId="0" borderId="0" xfId="14" applyNumberFormat="1" applyFont="1" applyFill="1" applyBorder="1"/>
    <xf numFmtId="0" fontId="3" fillId="9" borderId="0" xfId="12" applyFont="1" applyFill="1"/>
    <xf numFmtId="177" fontId="3" fillId="9" borderId="0" xfId="14" applyNumberFormat="1" applyFont="1" applyFill="1" applyBorder="1" applyAlignment="1">
      <alignment horizontal="right"/>
    </xf>
    <xf numFmtId="0" fontId="13" fillId="9" borderId="0" xfId="11" applyFont="1" applyFill="1" applyAlignment="1" applyProtection="1"/>
    <xf numFmtId="4" fontId="3" fillId="9" borderId="0" xfId="12" applyNumberFormat="1" applyFont="1" applyFill="1"/>
    <xf numFmtId="170" fontId="3" fillId="9" borderId="0" xfId="12" applyNumberFormat="1" applyFont="1" applyFill="1"/>
    <xf numFmtId="43" fontId="3" fillId="9" borderId="0" xfId="13" applyFont="1" applyFill="1"/>
    <xf numFmtId="167" fontId="3" fillId="9" borderId="0" xfId="12" applyNumberFormat="1" applyFont="1" applyFill="1"/>
    <xf numFmtId="177" fontId="3" fillId="6" borderId="0" xfId="14" applyNumberFormat="1" applyFont="1" applyFill="1" applyBorder="1" applyAlignment="1">
      <alignment horizontal="right"/>
    </xf>
    <xf numFmtId="0" fontId="13" fillId="6" borderId="0" xfId="11" applyFont="1" applyFill="1" applyAlignment="1" applyProtection="1"/>
    <xf numFmtId="0" fontId="3" fillId="6" borderId="0" xfId="12" applyFont="1" applyFill="1"/>
    <xf numFmtId="4" fontId="3" fillId="6" borderId="0" xfId="12" applyNumberFormat="1" applyFont="1" applyFill="1"/>
    <xf numFmtId="170" fontId="3" fillId="6" borderId="0" xfId="12" applyNumberFormat="1" applyFont="1" applyFill="1"/>
    <xf numFmtId="43" fontId="3" fillId="6" borderId="0" xfId="13" applyFont="1" applyFill="1"/>
    <xf numFmtId="169" fontId="3" fillId="6" borderId="0" xfId="12" applyNumberFormat="1" applyFont="1" applyFill="1"/>
    <xf numFmtId="177" fontId="3" fillId="6" borderId="0" xfId="14" applyNumberFormat="1" applyFont="1" applyFill="1" applyBorder="1"/>
    <xf numFmtId="167" fontId="3" fillId="6" borderId="0" xfId="12" applyNumberFormat="1" applyFont="1" applyFill="1"/>
    <xf numFmtId="168" fontId="13" fillId="9" borderId="0" xfId="11" applyNumberFormat="1" applyFill="1" applyAlignment="1" applyProtection="1"/>
    <xf numFmtId="168" fontId="13" fillId="6" borderId="0" xfId="11" applyNumberFormat="1" applyFill="1" applyAlignment="1" applyProtection="1"/>
    <xf numFmtId="43" fontId="3" fillId="0" borderId="0" xfId="13" applyFont="1" applyAlignment="1">
      <alignment horizontal="center" wrapText="1"/>
    </xf>
    <xf numFmtId="39" fontId="3" fillId="0" borderId="0" xfId="13" applyNumberFormat="1" applyFont="1" applyAlignment="1">
      <alignment horizontal="right"/>
    </xf>
    <xf numFmtId="174" fontId="3" fillId="0" borderId="0" xfId="13" applyNumberFormat="1" applyFont="1" applyFill="1"/>
    <xf numFmtId="173" fontId="3" fillId="0" borderId="0" xfId="13" applyNumberFormat="1" applyFont="1" applyFill="1"/>
    <xf numFmtId="173" fontId="3" fillId="0" borderId="0" xfId="13" applyNumberFormat="1" applyFont="1"/>
    <xf numFmtId="174" fontId="3" fillId="0" borderId="7" xfId="13" applyNumberFormat="1" applyFont="1" applyFill="1" applyBorder="1"/>
    <xf numFmtId="174" fontId="3" fillId="0" borderId="0" xfId="12" applyNumberFormat="1" applyFont="1" applyFill="1"/>
    <xf numFmtId="174" fontId="3" fillId="2" borderId="2" xfId="12" applyNumberFormat="1" applyFont="1" applyFill="1" applyBorder="1"/>
    <xf numFmtId="174" fontId="3" fillId="0" borderId="2" xfId="12" applyNumberFormat="1" applyFont="1" applyFill="1" applyBorder="1"/>
    <xf numFmtId="170" fontId="3" fillId="2" borderId="7" xfId="12" applyNumberFormat="1" applyFont="1" applyFill="1" applyBorder="1"/>
    <xf numFmtId="165" fontId="3" fillId="2" borderId="16" xfId="12" applyNumberFormat="1" applyFont="1" applyFill="1" applyBorder="1"/>
    <xf numFmtId="43" fontId="3" fillId="0" borderId="0" xfId="12" applyNumberFormat="1" applyFont="1"/>
    <xf numFmtId="166" fontId="9" fillId="0" borderId="16" xfId="12" applyNumberFormat="1" applyFont="1" applyBorder="1"/>
    <xf numFmtId="2" fontId="3" fillId="8" borderId="0" xfId="12" applyNumberFormat="1" applyFont="1" applyFill="1" applyAlignment="1">
      <alignment horizontal="left" wrapText="1"/>
    </xf>
    <xf numFmtId="2" fontId="3" fillId="8" borderId="0" xfId="14" applyNumberFormat="1" applyFont="1" applyFill="1" applyBorder="1" applyAlignment="1">
      <alignment horizontal="left" wrapText="1"/>
    </xf>
    <xf numFmtId="177" fontId="3" fillId="7" borderId="0" xfId="14" applyNumberFormat="1" applyFont="1" applyFill="1" applyBorder="1"/>
    <xf numFmtId="164" fontId="3" fillId="0" borderId="0" xfId="12" applyNumberFormat="1" applyFont="1"/>
    <xf numFmtId="170" fontId="3" fillId="2" borderId="0" xfId="12" applyNumberFormat="1" applyFont="1" applyFill="1" applyBorder="1"/>
    <xf numFmtId="0" fontId="3" fillId="2" borderId="0" xfId="12" applyFont="1" applyFill="1"/>
    <xf numFmtId="164" fontId="4" fillId="3" borderId="13" xfId="12" applyNumberFormat="1" applyFont="1" applyFill="1" applyBorder="1" applyAlignment="1">
      <alignment horizontal="right"/>
    </xf>
    <xf numFmtId="0" fontId="4" fillId="0" borderId="2" xfId="12" applyNumberFormat="1" applyFont="1" applyFill="1" applyBorder="1" applyAlignment="1">
      <alignment horizontal="right"/>
    </xf>
    <xf numFmtId="0" fontId="23" fillId="0" borderId="0" xfId="12" applyAlignment="1">
      <alignment wrapText="1"/>
    </xf>
    <xf numFmtId="0" fontId="23" fillId="7" borderId="0" xfId="12" applyFill="1" applyAlignment="1">
      <alignment wrapText="1"/>
    </xf>
    <xf numFmtId="166" fontId="3" fillId="0" borderId="0" xfId="12" applyNumberFormat="1" applyFont="1" applyFill="1"/>
    <xf numFmtId="164" fontId="3" fillId="0" borderId="0" xfId="12" applyNumberFormat="1" applyFont="1" applyFill="1"/>
    <xf numFmtId="0" fontId="3" fillId="2" borderId="13" xfId="12" applyFont="1" applyFill="1" applyBorder="1"/>
    <xf numFmtId="0" fontId="3" fillId="2" borderId="0" xfId="12" applyNumberFormat="1" applyFont="1" applyFill="1"/>
    <xf numFmtId="4" fontId="3" fillId="2" borderId="0" xfId="12" applyNumberFormat="1" applyFont="1" applyFill="1"/>
    <xf numFmtId="170" fontId="3" fillId="2" borderId="0" xfId="12" applyNumberFormat="1" applyFont="1" applyFill="1"/>
    <xf numFmtId="43" fontId="3" fillId="2" borderId="0" xfId="13" applyFont="1" applyFill="1"/>
    <xf numFmtId="168" fontId="3" fillId="2" borderId="0" xfId="12" applyNumberFormat="1" applyFont="1" applyFill="1"/>
    <xf numFmtId="167" fontId="3" fillId="2" borderId="0" xfId="12" applyNumberFormat="1" applyFont="1" applyFill="1"/>
    <xf numFmtId="0" fontId="4" fillId="2" borderId="0" xfId="12" applyFont="1" applyFill="1" applyBorder="1" applyAlignment="1"/>
    <xf numFmtId="166" fontId="9" fillId="0" borderId="16" xfId="12" applyNumberFormat="1" applyFont="1" applyFill="1" applyBorder="1"/>
    <xf numFmtId="43" fontId="3" fillId="2" borderId="0" xfId="12" applyNumberFormat="1" applyFont="1" applyFill="1"/>
    <xf numFmtId="173" fontId="4" fillId="3" borderId="13" xfId="12" applyNumberFormat="1" applyFont="1" applyFill="1" applyBorder="1" applyAlignment="1">
      <alignment horizontal="right"/>
    </xf>
    <xf numFmtId="168" fontId="4" fillId="0" borderId="13" xfId="12" applyNumberFormat="1" applyFont="1" applyFill="1" applyBorder="1" applyAlignment="1">
      <alignment horizontal="right"/>
    </xf>
    <xf numFmtId="43" fontId="3" fillId="0" borderId="0" xfId="12" applyNumberFormat="1" applyFont="1" applyFill="1"/>
    <xf numFmtId="168" fontId="8" fillId="4" borderId="0" xfId="12" applyNumberFormat="1" applyFont="1" applyFill="1" applyBorder="1" applyAlignment="1">
      <alignment horizontal="right"/>
    </xf>
    <xf numFmtId="168" fontId="8" fillId="4" borderId="13" xfId="12" applyNumberFormat="1" applyFont="1" applyFill="1" applyBorder="1" applyAlignment="1">
      <alignment horizontal="right"/>
    </xf>
    <xf numFmtId="174" fontId="3" fillId="0" borderId="0" xfId="12" applyNumberFormat="1" applyFont="1" applyFill="1" applyBorder="1"/>
    <xf numFmtId="0" fontId="3" fillId="0" borderId="4" xfId="6" applyFont="1" applyBorder="1" applyAlignment="1">
      <alignment horizontal="left"/>
    </xf>
    <xf numFmtId="170" fontId="0" fillId="0" borderId="11" xfId="7" applyNumberFormat="1" applyFont="1" applyBorder="1"/>
    <xf numFmtId="170" fontId="5" fillId="0" borderId="0" xfId="6" applyNumberFormat="1"/>
    <xf numFmtId="0" fontId="5" fillId="0" borderId="7" xfId="6" applyBorder="1"/>
    <xf numFmtId="0" fontId="3" fillId="0" borderId="7" xfId="6" applyFont="1" applyBorder="1"/>
    <xf numFmtId="17" fontId="6" fillId="0" borderId="11" xfId="6" applyNumberFormat="1" applyFont="1" applyBorder="1"/>
    <xf numFmtId="0" fontId="3" fillId="0" borderId="10" xfId="6" applyFont="1" applyBorder="1" applyAlignment="1">
      <alignment horizontal="left"/>
    </xf>
    <xf numFmtId="0" fontId="3" fillId="0" borderId="6" xfId="6" applyFont="1" applyBorder="1" applyAlignment="1">
      <alignment horizontal="left"/>
    </xf>
    <xf numFmtId="2" fontId="5" fillId="0" borderId="0" xfId="6" applyNumberFormat="1"/>
    <xf numFmtId="17" fontId="6" fillId="0" borderId="10" xfId="6" applyNumberFormat="1" applyFont="1" applyBorder="1"/>
    <xf numFmtId="170" fontId="0" fillId="0" borderId="10" xfId="7" applyNumberFormat="1" applyFont="1" applyBorder="1"/>
    <xf numFmtId="170" fontId="0" fillId="0" borderId="4" xfId="7" applyNumberFormat="1" applyFont="1" applyBorder="1"/>
    <xf numFmtId="183" fontId="0" fillId="0" borderId="7" xfId="7" applyNumberFormat="1" applyFont="1" applyBorder="1"/>
    <xf numFmtId="183" fontId="0" fillId="0" borderId="6" xfId="7" applyNumberFormat="1" applyFont="1" applyBorder="1"/>
    <xf numFmtId="0" fontId="3" fillId="0" borderId="6" xfId="20" applyFont="1" applyBorder="1" applyAlignment="1">
      <alignment horizontal="left"/>
    </xf>
    <xf numFmtId="170" fontId="0" fillId="0" borderId="2" xfId="7" applyNumberFormat="1" applyFont="1" applyBorder="1"/>
    <xf numFmtId="0" fontId="5" fillId="0" borderId="1" xfId="6" applyBorder="1" applyAlignment="1">
      <alignment horizontal="left"/>
    </xf>
    <xf numFmtId="183" fontId="0" fillId="0" borderId="2" xfId="7" applyNumberFormat="1" applyFont="1" applyBorder="1"/>
    <xf numFmtId="183" fontId="0" fillId="0" borderId="3" xfId="7" applyNumberFormat="1" applyFont="1" applyBorder="1"/>
    <xf numFmtId="183" fontId="0" fillId="0" borderId="1" xfId="7" applyNumberFormat="1" applyFont="1" applyBorder="1"/>
    <xf numFmtId="0" fontId="3" fillId="0" borderId="7" xfId="20" applyFont="1" applyBorder="1" applyAlignment="1">
      <alignment horizontal="left"/>
    </xf>
    <xf numFmtId="0" fontId="5" fillId="0" borderId="10" xfId="6" applyBorder="1"/>
    <xf numFmtId="0" fontId="5" fillId="0" borderId="0" xfId="6" applyAlignment="1">
      <alignment horizontal="right"/>
    </xf>
    <xf numFmtId="0" fontId="6" fillId="0" borderId="2" xfId="6" applyFont="1" applyBorder="1" applyAlignment="1">
      <alignment horizontal="left"/>
    </xf>
    <xf numFmtId="176" fontId="6" fillId="0" borderId="2" xfId="6" applyNumberFormat="1" applyFont="1" applyBorder="1" applyAlignment="1">
      <alignment horizontal="right"/>
    </xf>
    <xf numFmtId="176" fontId="6" fillId="0" borderId="1" xfId="6" applyNumberFormat="1" applyFont="1" applyBorder="1" applyAlignment="1">
      <alignment horizontal="right"/>
    </xf>
    <xf numFmtId="170" fontId="0" fillId="0" borderId="11" xfId="7" applyFont="1" applyBorder="1"/>
    <xf numFmtId="170" fontId="0" fillId="0" borderId="0" xfId="7" applyFont="1" applyBorder="1"/>
    <xf numFmtId="170" fontId="0" fillId="0" borderId="2" xfId="7" applyFont="1" applyBorder="1"/>
    <xf numFmtId="0" fontId="5" fillId="0" borderId="0" xfId="6" applyBorder="1"/>
    <xf numFmtId="183" fontId="5" fillId="0" borderId="7" xfId="6" applyNumberFormat="1" applyBorder="1"/>
    <xf numFmtId="183" fontId="3" fillId="0" borderId="7" xfId="6" applyNumberFormat="1" applyFont="1" applyBorder="1"/>
    <xf numFmtId="176" fontId="6" fillId="0" borderId="7" xfId="6" applyNumberFormat="1" applyFont="1" applyBorder="1"/>
    <xf numFmtId="170" fontId="0" fillId="0" borderId="11" xfId="21" applyNumberFormat="1" applyFont="1" applyBorder="1"/>
    <xf numFmtId="170" fontId="0" fillId="0" borderId="0" xfId="21" applyNumberFormat="1" applyFont="1" applyBorder="1"/>
    <xf numFmtId="183" fontId="0" fillId="0" borderId="2" xfId="21" applyNumberFormat="1" applyFont="1" applyBorder="1"/>
    <xf numFmtId="183" fontId="0" fillId="0" borderId="7" xfId="21" applyNumberFormat="1" applyFont="1" applyBorder="1"/>
    <xf numFmtId="17" fontId="6" fillId="0" borderId="2" xfId="20" applyNumberFormat="1" applyFont="1" applyBorder="1"/>
    <xf numFmtId="184" fontId="5" fillId="0" borderId="0" xfId="6" applyNumberFormat="1"/>
    <xf numFmtId="0" fontId="6" fillId="0" borderId="0" xfId="6" applyFont="1" applyAlignment="1">
      <alignment horizontal="left"/>
    </xf>
    <xf numFmtId="174" fontId="6" fillId="0" borderId="0" xfId="6" applyNumberFormat="1" applyFont="1"/>
    <xf numFmtId="174" fontId="6" fillId="0" borderId="4" xfId="6" applyNumberFormat="1" applyFont="1" applyBorder="1"/>
    <xf numFmtId="174" fontId="6" fillId="0" borderId="16" xfId="6" applyNumberFormat="1" applyFont="1" applyBorder="1"/>
    <xf numFmtId="0" fontId="3" fillId="0" borderId="0" xfId="6" applyFont="1"/>
    <xf numFmtId="183" fontId="0" fillId="0" borderId="11" xfId="21" applyNumberFormat="1" applyFont="1" applyBorder="1"/>
    <xf numFmtId="183" fontId="0" fillId="0" borderId="0" xfId="21" applyNumberFormat="1" applyFont="1" applyBorder="1"/>
    <xf numFmtId="183" fontId="6" fillId="0" borderId="7" xfId="6" applyNumberFormat="1" applyFont="1" applyBorder="1"/>
    <xf numFmtId="0" fontId="16" fillId="0" borderId="17" xfId="3" applyFont="1" applyBorder="1" applyAlignment="1">
      <alignment horizontal="left" vertical="top" wrapText="1"/>
    </xf>
    <xf numFmtId="2" fontId="5" fillId="7" borderId="0" xfId="3" applyNumberFormat="1" applyFont="1" applyFill="1" applyAlignment="1">
      <alignment horizontal="left" wrapText="1"/>
    </xf>
    <xf numFmtId="2" fontId="13" fillId="7" borderId="0" xfId="11" applyNumberFormat="1" applyFill="1" applyAlignment="1" applyProtection="1">
      <alignment horizontal="right" wrapText="1"/>
    </xf>
    <xf numFmtId="0" fontId="3" fillId="7" borderId="0" xfId="3" applyFill="1" applyAlignment="1">
      <alignment wrapText="1"/>
    </xf>
    <xf numFmtId="2" fontId="5" fillId="8" borderId="0" xfId="3" applyNumberFormat="1" applyFont="1" applyFill="1" applyAlignment="1">
      <alignment horizontal="left" wrapText="1"/>
    </xf>
    <xf numFmtId="2" fontId="13" fillId="8" borderId="0" xfId="11" applyNumberFormat="1" applyFill="1" applyAlignment="1" applyProtection="1">
      <alignment horizontal="right" wrapText="1"/>
    </xf>
    <xf numFmtId="0" fontId="3" fillId="0" borderId="0" xfId="3" applyAlignment="1">
      <alignment wrapText="1"/>
    </xf>
    <xf numFmtId="0" fontId="0" fillId="0" borderId="4" xfId="0" applyBorder="1" applyAlignment="1">
      <alignment horizontal="left" wrapText="1"/>
    </xf>
    <xf numFmtId="0" fontId="0" fillId="0" borderId="0"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2" fontId="3" fillId="7" borderId="0" xfId="12" applyNumberFormat="1" applyFont="1" applyFill="1" applyAlignment="1">
      <alignment horizontal="left" wrapText="1"/>
    </xf>
    <xf numFmtId="0" fontId="23" fillId="7" borderId="0" xfId="12" applyFill="1" applyAlignment="1">
      <alignment wrapText="1"/>
    </xf>
    <xf numFmtId="2" fontId="3" fillId="8" borderId="0" xfId="12" applyNumberFormat="1" applyFont="1" applyFill="1" applyAlignment="1">
      <alignment horizontal="left" wrapText="1"/>
    </xf>
    <xf numFmtId="0" fontId="23" fillId="0" borderId="0" xfId="12" applyAlignment="1">
      <alignment wrapText="1"/>
    </xf>
  </cellXfs>
  <cellStyles count="22">
    <cellStyle name="Accounting" xfId="15"/>
    <cellStyle name="Comma" xfId="1" builtinId="3"/>
    <cellStyle name="Comma 2" xfId="4"/>
    <cellStyle name="Comma 3" xfId="7"/>
    <cellStyle name="Comma 3 2" xfId="21"/>
    <cellStyle name="Comma 4" xfId="13"/>
    <cellStyle name="Currency 2" xfId="5"/>
    <cellStyle name="Currency 3" xfId="14"/>
    <cellStyle name="Hyperlink" xfId="11" builtinId="8"/>
    <cellStyle name="Normal" xfId="0" builtinId="0"/>
    <cellStyle name="Normal 2" xfId="3"/>
    <cellStyle name="Normal 2 2" xfId="6"/>
    <cellStyle name="Normal 2 2 2" xfId="20"/>
    <cellStyle name="Normal 3" xfId="8"/>
    <cellStyle name="Normal 3 2" xfId="16"/>
    <cellStyle name="Normal 4" xfId="9"/>
    <cellStyle name="Normal 4 2" xfId="10"/>
    <cellStyle name="Normal 4 2 2" xfId="18"/>
    <cellStyle name="Normal 4 3" xfId="17"/>
    <cellStyle name="Normal 5" xfId="12"/>
    <cellStyle name="Normal 5 2" xfId="19"/>
    <cellStyle name="Percent" xfId="2" builtinId="5"/>
  </cellStyles>
  <dxfs count="2">
    <dxf>
      <numFmt numFmtId="171" formatCode="_(* #,##0_);_(* \(#,##0\);_(* &quot;-&quot;??_);_(@_)"/>
    </dxf>
    <dxf>
      <numFmt numFmtId="171" formatCode="_(* #,##0_);_(* \(#,##0\);_(* &quot;-&quot;??_);_(@_)"/>
    </dxf>
  </dxfs>
  <tableStyles count="0" defaultTableStyle="TableStyleMedium9" defaultPivotStyle="PivotStyleLight16"/>
  <colors>
    <mruColors>
      <color rgb="FF002A5C"/>
      <color rgb="FFF8971D"/>
      <color rgb="FF7D1213"/>
      <color rgb="FFFFD24E"/>
      <color rgb="FF57B749"/>
      <color rgb="FF006A71"/>
      <color rgb="FFCA6B18"/>
      <color rgb="FF7ACDCB"/>
      <color rgb="FF0974AB"/>
      <color rgb="FFA9D4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25" b="1" i="0" u="none" strike="noStrike" baseline="0">
                <a:solidFill>
                  <a:srgbClr val="000000"/>
                </a:solidFill>
                <a:latin typeface="Arial"/>
                <a:ea typeface="Arial"/>
                <a:cs typeface="Arial"/>
              </a:defRPr>
            </a:pPr>
            <a:r>
              <a:rPr lang="en-US"/>
              <a:t>Global Adjustment Cash Flows</a:t>
            </a:r>
          </a:p>
        </c:rich>
      </c:tx>
      <c:layout>
        <c:manualLayout>
          <c:xMode val="edge"/>
          <c:yMode val="edge"/>
          <c:x val="0.35774298399861254"/>
          <c:y val="6.4031114697356804E-3"/>
        </c:manualLayout>
      </c:layout>
      <c:overlay val="0"/>
      <c:spPr>
        <a:noFill/>
        <a:ln w="25400">
          <a:noFill/>
        </a:ln>
      </c:spPr>
    </c:title>
    <c:autoTitleDeleted val="0"/>
    <c:plotArea>
      <c:layout>
        <c:manualLayout>
          <c:layoutTarget val="inner"/>
          <c:xMode val="edge"/>
          <c:yMode val="edge"/>
          <c:x val="0.17856203543183577"/>
          <c:y val="0.11397874228687459"/>
          <c:w val="0.66302859018634464"/>
          <c:h val="0.57634529642413912"/>
        </c:manualLayout>
      </c:layout>
      <c:barChart>
        <c:barDir val="col"/>
        <c:grouping val="stacked"/>
        <c:varyColors val="0"/>
        <c:ser>
          <c:idx val="0"/>
          <c:order val="0"/>
          <c:tx>
            <c:strRef>
              <c:f>'GAM Components'!$A$18</c:f>
              <c:strCache>
                <c:ptCount val="1"/>
                <c:pt idx="0">
                  <c:v>Ontario Electricity Financial Corporation - Non-Utility Generation</c:v>
                </c:pt>
              </c:strCache>
            </c:strRef>
          </c:tx>
          <c:spPr>
            <a:solidFill>
              <a:srgbClr val="92D050"/>
            </a:solidFill>
            <a:ln>
              <a:noFill/>
            </a:ln>
            <a:effectLst/>
            <a:scene3d>
              <a:camera prst="orthographicFront"/>
              <a:lightRig rig="threePt" dir="t"/>
            </a:scene3d>
            <a:sp3d/>
          </c:spPr>
          <c:invertIfNegative val="0"/>
          <c:cat>
            <c:strRef>
              <c:f>'GAM Components'!$BK$3:$BV$3</c:f>
              <c:strCache>
                <c:ptCount val="12"/>
                <c:pt idx="0">
                  <c:v>Dec'12</c:v>
                </c:pt>
                <c:pt idx="1">
                  <c:v>Jan'13</c:v>
                </c:pt>
                <c:pt idx="2">
                  <c:v>Feb'13</c:v>
                </c:pt>
                <c:pt idx="3">
                  <c:v>Mar'13</c:v>
                </c:pt>
                <c:pt idx="4">
                  <c:v>Apr'13</c:v>
                </c:pt>
                <c:pt idx="5">
                  <c:v>May'13</c:v>
                </c:pt>
                <c:pt idx="6">
                  <c:v>June'13</c:v>
                </c:pt>
                <c:pt idx="7">
                  <c:v>July'13</c:v>
                </c:pt>
                <c:pt idx="8">
                  <c:v>Aug'13</c:v>
                </c:pt>
                <c:pt idx="9">
                  <c:v>Sep'13</c:v>
                </c:pt>
                <c:pt idx="10">
                  <c:v>Oct'13</c:v>
                </c:pt>
                <c:pt idx="11">
                  <c:v>Nov'13</c:v>
                </c:pt>
              </c:strCache>
            </c:strRef>
          </c:cat>
          <c:val>
            <c:numRef>
              <c:f>'GAM Components'!$BK$18:$BV$18</c:f>
              <c:numCache>
                <c:formatCode>_-* #,##0_-;\-* #,##0_-;_-* "-"??_-;_-@_-</c:formatCode>
                <c:ptCount val="12"/>
                <c:pt idx="0">
                  <c:v>96.903936000000002</c:v>
                </c:pt>
                <c:pt idx="1">
                  <c:v>100.636352</c:v>
                </c:pt>
                <c:pt idx="2">
                  <c:v>93.200186000000002</c:v>
                </c:pt>
                <c:pt idx="3">
                  <c:v>112.673247</c:v>
                </c:pt>
                <c:pt idx="4">
                  <c:v>90.109570000000005</c:v>
                </c:pt>
                <c:pt idx="5">
                  <c:v>90.660015000000001</c:v>
                </c:pt>
                <c:pt idx="6">
                  <c:v>90.528554999999997</c:v>
                </c:pt>
                <c:pt idx="7">
                  <c:v>79.43121099999999</c:v>
                </c:pt>
                <c:pt idx="8">
                  <c:v>89.223016000000001</c:v>
                </c:pt>
                <c:pt idx="9">
                  <c:v>86.130171000000004</c:v>
                </c:pt>
                <c:pt idx="10">
                  <c:v>99.127793000000011</c:v>
                </c:pt>
                <c:pt idx="11">
                  <c:v>112.043239</c:v>
                </c:pt>
              </c:numCache>
            </c:numRef>
          </c:val>
          <c:extLst>
            <c:ext xmlns:c16="http://schemas.microsoft.com/office/drawing/2014/chart" uri="{C3380CC4-5D6E-409C-BE32-E72D297353CC}">
              <c16:uniqueId val="{00000000-2874-4537-A2AD-5D16A23BDE38}"/>
            </c:ext>
          </c:extLst>
        </c:ser>
        <c:ser>
          <c:idx val="2"/>
          <c:order val="1"/>
          <c:tx>
            <c:strRef>
              <c:f>'GAM Components'!$A$20</c:f>
              <c:strCache>
                <c:ptCount val="1"/>
                <c:pt idx="0">
                  <c:v>OPA Contracts</c:v>
                </c:pt>
              </c:strCache>
            </c:strRef>
          </c:tx>
          <c:spPr>
            <a:solidFill>
              <a:schemeClr val="accent4">
                <a:lumMod val="75000"/>
              </a:schemeClr>
            </a:solidFill>
            <a:ln w="12700">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ln>
            <a:scene3d>
              <a:camera prst="orthographicFront"/>
              <a:lightRig rig="threePt" dir="t"/>
            </a:scene3d>
            <a:sp3d/>
          </c:spPr>
          <c:invertIfNegative val="0"/>
          <c:cat>
            <c:strRef>
              <c:f>'GAM Components'!$BK$3:$BV$3</c:f>
              <c:strCache>
                <c:ptCount val="12"/>
                <c:pt idx="0">
                  <c:v>Dec'12</c:v>
                </c:pt>
                <c:pt idx="1">
                  <c:v>Jan'13</c:v>
                </c:pt>
                <c:pt idx="2">
                  <c:v>Feb'13</c:v>
                </c:pt>
                <c:pt idx="3">
                  <c:v>Mar'13</c:v>
                </c:pt>
                <c:pt idx="4">
                  <c:v>Apr'13</c:v>
                </c:pt>
                <c:pt idx="5">
                  <c:v>May'13</c:v>
                </c:pt>
                <c:pt idx="6">
                  <c:v>June'13</c:v>
                </c:pt>
                <c:pt idx="7">
                  <c:v>July'13</c:v>
                </c:pt>
                <c:pt idx="8">
                  <c:v>Aug'13</c:v>
                </c:pt>
                <c:pt idx="9">
                  <c:v>Sep'13</c:v>
                </c:pt>
                <c:pt idx="10">
                  <c:v>Oct'13</c:v>
                </c:pt>
                <c:pt idx="11">
                  <c:v>Nov'13</c:v>
                </c:pt>
              </c:strCache>
            </c:strRef>
          </c:cat>
          <c:val>
            <c:numRef>
              <c:f>'GAM Components'!$BK$20:$BV$20</c:f>
              <c:numCache>
                <c:formatCode>_-* #,##0_-;\-* #,##0_-;_-* "-"??_-;_-@_-</c:formatCode>
                <c:ptCount val="12"/>
                <c:pt idx="0">
                  <c:v>219.81828419999999</c:v>
                </c:pt>
                <c:pt idx="1">
                  <c:v>380.22900338999995</c:v>
                </c:pt>
                <c:pt idx="2">
                  <c:v>328.11379796000006</c:v>
                </c:pt>
                <c:pt idx="3">
                  <c:v>330.31627604000005</c:v>
                </c:pt>
                <c:pt idx="4">
                  <c:v>388.4332354099999</c:v>
                </c:pt>
                <c:pt idx="5">
                  <c:v>411.39994410000003</c:v>
                </c:pt>
                <c:pt idx="6">
                  <c:v>471.73873040999996</c:v>
                </c:pt>
                <c:pt idx="7">
                  <c:v>391.05903194999996</c:v>
                </c:pt>
                <c:pt idx="8">
                  <c:v>430.48312501999993</c:v>
                </c:pt>
                <c:pt idx="9">
                  <c:v>408.06947301000002</c:v>
                </c:pt>
                <c:pt idx="10">
                  <c:v>378.07710987000007</c:v>
                </c:pt>
                <c:pt idx="11">
                  <c:v>537.71127543</c:v>
                </c:pt>
              </c:numCache>
            </c:numRef>
          </c:val>
          <c:extLst>
            <c:ext xmlns:c16="http://schemas.microsoft.com/office/drawing/2014/chart" uri="{C3380CC4-5D6E-409C-BE32-E72D297353CC}">
              <c16:uniqueId val="{00000001-2874-4537-A2AD-5D16A23BDE38}"/>
            </c:ext>
          </c:extLst>
        </c:ser>
        <c:ser>
          <c:idx val="1"/>
          <c:order val="2"/>
          <c:tx>
            <c:strRef>
              <c:f>'GAM Components'!$A$19</c:f>
              <c:strCache>
                <c:ptCount val="1"/>
                <c:pt idx="0">
                  <c:v>Ontario Power Generation - Generation</c:v>
                </c:pt>
              </c:strCache>
            </c:strRef>
          </c:tx>
          <c:spPr>
            <a:solidFill>
              <a:schemeClr val="tx2">
                <a:lumMod val="60000"/>
                <a:lumOff val="40000"/>
              </a:schemeClr>
            </a:solidFill>
            <a:ln w="12700">
              <a:noFill/>
              <a:prstDash val="solid"/>
            </a:ln>
            <a:scene3d>
              <a:camera prst="orthographicFront"/>
              <a:lightRig rig="threePt" dir="t"/>
            </a:scene3d>
            <a:sp3d/>
          </c:spPr>
          <c:invertIfNegative val="0"/>
          <c:cat>
            <c:strRef>
              <c:f>'GAM Components'!$BK$3:$BV$3</c:f>
              <c:strCache>
                <c:ptCount val="12"/>
                <c:pt idx="0">
                  <c:v>Dec'12</c:v>
                </c:pt>
                <c:pt idx="1">
                  <c:v>Jan'13</c:v>
                </c:pt>
                <c:pt idx="2">
                  <c:v>Feb'13</c:v>
                </c:pt>
                <c:pt idx="3">
                  <c:v>Mar'13</c:v>
                </c:pt>
                <c:pt idx="4">
                  <c:v>Apr'13</c:v>
                </c:pt>
                <c:pt idx="5">
                  <c:v>May'13</c:v>
                </c:pt>
                <c:pt idx="6">
                  <c:v>June'13</c:v>
                </c:pt>
                <c:pt idx="7">
                  <c:v>July'13</c:v>
                </c:pt>
                <c:pt idx="8">
                  <c:v>Aug'13</c:v>
                </c:pt>
                <c:pt idx="9">
                  <c:v>Sep'13</c:v>
                </c:pt>
                <c:pt idx="10">
                  <c:v>Oct'13</c:v>
                </c:pt>
                <c:pt idx="11">
                  <c:v>Nov'13</c:v>
                </c:pt>
              </c:strCache>
            </c:strRef>
          </c:cat>
          <c:val>
            <c:numRef>
              <c:f>'GAM Components'!$BK$19:$BV$19</c:f>
              <c:numCache>
                <c:formatCode>_-* #,##0_-;\-* #,##0_-;_-* "-"??_-;_-@_-</c:formatCode>
                <c:ptCount val="12"/>
                <c:pt idx="0">
                  <c:v>146.26343023999999</c:v>
                </c:pt>
                <c:pt idx="1">
                  <c:v>125.09099068</c:v>
                </c:pt>
                <c:pt idx="2">
                  <c:v>108.98407985999999</c:v>
                </c:pt>
                <c:pt idx="3">
                  <c:v>111.81844411</c:v>
                </c:pt>
                <c:pt idx="4">
                  <c:v>136.26394687000001</c:v>
                </c:pt>
                <c:pt idx="5">
                  <c:v>155.14201462</c:v>
                </c:pt>
                <c:pt idx="6">
                  <c:v>161.13079102999998</c:v>
                </c:pt>
                <c:pt idx="7">
                  <c:v>139.09038547</c:v>
                </c:pt>
                <c:pt idx="8">
                  <c:v>180.19974382000001</c:v>
                </c:pt>
                <c:pt idx="9">
                  <c:v>163.15951284000002</c:v>
                </c:pt>
                <c:pt idx="10">
                  <c:v>156.97170936999999</c:v>
                </c:pt>
                <c:pt idx="11">
                  <c:v>197.24468096000001</c:v>
                </c:pt>
              </c:numCache>
            </c:numRef>
          </c:val>
          <c:extLst>
            <c:ext xmlns:c16="http://schemas.microsoft.com/office/drawing/2014/chart" uri="{C3380CC4-5D6E-409C-BE32-E72D297353CC}">
              <c16:uniqueId val="{00000002-2874-4537-A2AD-5D16A23BDE38}"/>
            </c:ext>
          </c:extLst>
        </c:ser>
        <c:dLbls>
          <c:showLegendKey val="0"/>
          <c:showVal val="0"/>
          <c:showCatName val="0"/>
          <c:showSerName val="0"/>
          <c:showPercent val="0"/>
          <c:showBubbleSize val="0"/>
        </c:dLbls>
        <c:gapWidth val="150"/>
        <c:overlap val="100"/>
        <c:axId val="108529152"/>
        <c:axId val="108530688"/>
      </c:barChart>
      <c:lineChart>
        <c:grouping val="standard"/>
        <c:varyColors val="0"/>
        <c:ser>
          <c:idx val="4"/>
          <c:order val="3"/>
          <c:tx>
            <c:strRef>
              <c:f>'GAM Components'!$A$27</c:f>
              <c:strCache>
                <c:ptCount val="1"/>
                <c:pt idx="0">
                  <c:v>Rolling 12-Month Cumulative</c:v>
                </c:pt>
              </c:strCache>
            </c:strRef>
          </c:tx>
          <c:spPr>
            <a:ln w="38100">
              <a:solidFill>
                <a:srgbClr val="000000"/>
              </a:solidFill>
              <a:prstDash val="solid"/>
            </a:ln>
          </c:spPr>
          <c:marker>
            <c:symbol val="none"/>
          </c:marker>
          <c:cat>
            <c:strRef>
              <c:f>'GAM Components'!$BK$3:$BV$3</c:f>
              <c:strCache>
                <c:ptCount val="12"/>
                <c:pt idx="0">
                  <c:v>Dec'12</c:v>
                </c:pt>
                <c:pt idx="1">
                  <c:v>Jan'13</c:v>
                </c:pt>
                <c:pt idx="2">
                  <c:v>Feb'13</c:v>
                </c:pt>
                <c:pt idx="3">
                  <c:v>Mar'13</c:v>
                </c:pt>
                <c:pt idx="4">
                  <c:v>Apr'13</c:v>
                </c:pt>
                <c:pt idx="5">
                  <c:v>May'13</c:v>
                </c:pt>
                <c:pt idx="6">
                  <c:v>June'13</c:v>
                </c:pt>
                <c:pt idx="7">
                  <c:v>July'13</c:v>
                </c:pt>
                <c:pt idx="8">
                  <c:v>Aug'13</c:v>
                </c:pt>
                <c:pt idx="9">
                  <c:v>Sep'13</c:v>
                </c:pt>
                <c:pt idx="10">
                  <c:v>Oct'13</c:v>
                </c:pt>
                <c:pt idx="11">
                  <c:v>Nov'13</c:v>
                </c:pt>
              </c:strCache>
            </c:strRef>
          </c:cat>
          <c:val>
            <c:numRef>
              <c:f>'GAM Components'!$BK$27:$BV$27</c:f>
              <c:numCache>
                <c:formatCode>_-* #,##0_-;\-* #,##0_-;_-* "-"??_-;_-@_-</c:formatCode>
                <c:ptCount val="12"/>
                <c:pt idx="0">
                  <c:v>6455.8066952999998</c:v>
                </c:pt>
                <c:pt idx="1">
                  <c:v>6549.4154159499994</c:v>
                </c:pt>
                <c:pt idx="2">
                  <c:v>6529.7378050799998</c:v>
                </c:pt>
                <c:pt idx="3">
                  <c:v>6418.0302180499984</c:v>
                </c:pt>
                <c:pt idx="4">
                  <c:v>6438.1080073899975</c:v>
                </c:pt>
                <c:pt idx="5">
                  <c:v>6517.0984847199998</c:v>
                </c:pt>
                <c:pt idx="6">
                  <c:v>6655.6602086000003</c:v>
                </c:pt>
                <c:pt idx="7">
                  <c:v>6843.5832341800015</c:v>
                </c:pt>
                <c:pt idx="8">
                  <c:v>7058.85394206</c:v>
                </c:pt>
                <c:pt idx="9">
                  <c:v>7237.1007808599988</c:v>
                </c:pt>
                <c:pt idx="10">
                  <c:v>7325.6855045799994</c:v>
                </c:pt>
                <c:pt idx="11">
                  <c:v>7597.4763076599993</c:v>
                </c:pt>
              </c:numCache>
            </c:numRef>
          </c:val>
          <c:smooth val="0"/>
          <c:extLst>
            <c:ext xmlns:c16="http://schemas.microsoft.com/office/drawing/2014/chart" uri="{C3380CC4-5D6E-409C-BE32-E72D297353CC}">
              <c16:uniqueId val="{00000003-2874-4537-A2AD-5D16A23BDE38}"/>
            </c:ext>
          </c:extLst>
        </c:ser>
        <c:dLbls>
          <c:showLegendKey val="0"/>
          <c:showVal val="0"/>
          <c:showCatName val="0"/>
          <c:showSerName val="0"/>
          <c:showPercent val="0"/>
          <c:showBubbleSize val="0"/>
        </c:dLbls>
        <c:marker val="1"/>
        <c:smooth val="0"/>
        <c:axId val="108533632"/>
        <c:axId val="119492608"/>
      </c:lineChart>
      <c:catAx>
        <c:axId val="108529152"/>
        <c:scaling>
          <c:orientation val="minMax"/>
        </c:scaling>
        <c:delete val="0"/>
        <c:axPos val="b"/>
        <c:numFmt formatCode="General" sourceLinked="1"/>
        <c:majorTickMark val="cross"/>
        <c:minorTickMark val="none"/>
        <c:tickLblPos val="low"/>
        <c:spPr>
          <a:ln w="3175">
            <a:solidFill>
              <a:srgbClr val="000000"/>
            </a:solidFill>
            <a:prstDash val="solid"/>
          </a:ln>
        </c:spPr>
        <c:txPr>
          <a:bodyPr rot="-5400000" vert="horz"/>
          <a:lstStyle/>
          <a:p>
            <a:pPr>
              <a:defRPr sz="800" b="1" i="0" u="none" strike="noStrike" baseline="0">
                <a:solidFill>
                  <a:srgbClr val="000000"/>
                </a:solidFill>
                <a:latin typeface="Arial"/>
                <a:ea typeface="Arial"/>
                <a:cs typeface="Arial"/>
              </a:defRPr>
            </a:pPr>
            <a:endParaRPr lang="en-US"/>
          </a:p>
        </c:txPr>
        <c:crossAx val="108530688"/>
        <c:crosses val="autoZero"/>
        <c:auto val="1"/>
        <c:lblAlgn val="ctr"/>
        <c:lblOffset val="100"/>
        <c:tickLblSkip val="1"/>
        <c:tickMarkSkip val="1"/>
        <c:noMultiLvlLbl val="0"/>
      </c:catAx>
      <c:valAx>
        <c:axId val="108530688"/>
        <c:scaling>
          <c:orientation val="minMax"/>
        </c:scaling>
        <c:delete val="0"/>
        <c:axPos val="l"/>
        <c:majorGridlines>
          <c:spPr>
            <a:ln w="3175">
              <a:solidFill>
                <a:schemeClr val="tx1">
                  <a:lumMod val="50000"/>
                  <a:lumOff val="50000"/>
                </a:schemeClr>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Monthly Total ($M)</a:t>
                </a:r>
              </a:p>
            </c:rich>
          </c:tx>
          <c:layout>
            <c:manualLayout>
              <c:xMode val="edge"/>
              <c:yMode val="edge"/>
              <c:x val="2.744753836303581E-2"/>
              <c:y val="0.29032320690613855"/>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108529152"/>
        <c:crosses val="autoZero"/>
        <c:crossBetween val="between"/>
      </c:valAx>
      <c:catAx>
        <c:axId val="108533632"/>
        <c:scaling>
          <c:orientation val="minMax"/>
        </c:scaling>
        <c:delete val="1"/>
        <c:axPos val="b"/>
        <c:numFmt formatCode="General" sourceLinked="1"/>
        <c:majorTickMark val="out"/>
        <c:minorTickMark val="none"/>
        <c:tickLblPos val="none"/>
        <c:crossAx val="119492608"/>
        <c:crosses val="autoZero"/>
        <c:auto val="1"/>
        <c:lblAlgn val="ctr"/>
        <c:lblOffset val="100"/>
        <c:noMultiLvlLbl val="0"/>
      </c:catAx>
      <c:valAx>
        <c:axId val="119492608"/>
        <c:scaling>
          <c:orientation val="minMax"/>
        </c:scaling>
        <c:delete val="0"/>
        <c:axPos val="r"/>
        <c:title>
          <c:tx>
            <c:rich>
              <a:bodyPr/>
              <a:lstStyle/>
              <a:p>
                <a:pPr>
                  <a:defRPr sz="800" b="1" i="0" u="none" strike="noStrike" baseline="0">
                    <a:solidFill>
                      <a:srgbClr val="000000"/>
                    </a:solidFill>
                    <a:latin typeface="Arial"/>
                    <a:ea typeface="Arial"/>
                    <a:cs typeface="Arial"/>
                  </a:defRPr>
                </a:pPr>
                <a:r>
                  <a:rPr lang="en-US"/>
                  <a:t>12-Month Total ($M)</a:t>
                </a:r>
              </a:p>
            </c:rich>
          </c:tx>
          <c:layout>
            <c:manualLayout>
              <c:xMode val="edge"/>
              <c:yMode val="edge"/>
              <c:x val="0.92504293183061326"/>
              <c:y val="0.28387169736638623"/>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108533632"/>
        <c:crosses val="max"/>
        <c:crossBetween val="between"/>
      </c:valAx>
      <c:spPr>
        <a:solidFill>
          <a:schemeClr val="bg1"/>
        </a:solidFill>
        <a:ln w="12700">
          <a:solidFill>
            <a:srgbClr val="000000"/>
          </a:solidFill>
          <a:prstDash val="solid"/>
        </a:ln>
      </c:spPr>
    </c:plotArea>
    <c:legend>
      <c:legendPos val="b"/>
      <c:layout>
        <c:manualLayout>
          <c:xMode val="edge"/>
          <c:yMode val="edge"/>
          <c:x val="0.12115740252577265"/>
          <c:y val="0.76375933874969781"/>
          <c:w val="0.84066146611320791"/>
          <c:h val="0.20906127927874402"/>
        </c:manualLayout>
      </c:layout>
      <c:overlay val="0"/>
    </c:legend>
    <c:plotVisOnly val="1"/>
    <c:dispBlanksAs val="gap"/>
    <c:showDLblsOverMax val="0"/>
  </c:chart>
  <c:spPr>
    <a:noFill/>
    <a:ln w="3175">
      <a:noFill/>
      <a:prstDash val="solid"/>
    </a:ln>
    <a:scene3d>
      <a:camera prst="orthographicFront"/>
      <a:lightRig rig="flood" dir="t"/>
    </a:scene3d>
    <a:sp3d prstMaterial="matte"/>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OPA GAM by Fuel Type</a:t>
            </a:r>
          </a:p>
        </c:rich>
      </c:tx>
      <c:overlay val="1"/>
    </c:title>
    <c:autoTitleDeleted val="0"/>
    <c:plotArea>
      <c:layout>
        <c:manualLayout>
          <c:layoutTarget val="inner"/>
          <c:xMode val="edge"/>
          <c:yMode val="edge"/>
          <c:x val="0.1024511948810496"/>
          <c:y val="0.17005201622524457"/>
          <c:w val="0.73368284150140661"/>
          <c:h val="0.79149769915124246"/>
        </c:manualLayout>
      </c:layout>
      <c:barChart>
        <c:barDir val="col"/>
        <c:grouping val="stacked"/>
        <c:varyColors val="0"/>
        <c:ser>
          <c:idx val="0"/>
          <c:order val="0"/>
          <c:tx>
            <c:strRef>
              <c:f>'OPA Components of GAM '!$A$20</c:f>
              <c:strCache>
                <c:ptCount val="1"/>
                <c:pt idx="0">
                  <c:v>Biomass/landfill</c:v>
                </c:pt>
              </c:strCache>
            </c:strRef>
          </c:tx>
          <c:invertIfNegative val="0"/>
          <c:cat>
            <c:numRef>
              <c:f>'OPA Components of GAM '!$B$19:$L$19</c:f>
              <c:numCache>
                <c:formatCode>mmm\-yy</c:formatCode>
                <c:ptCount val="11"/>
                <c:pt idx="0">
                  <c:v>41275</c:v>
                </c:pt>
                <c:pt idx="1">
                  <c:v>41306</c:v>
                </c:pt>
                <c:pt idx="2">
                  <c:v>41334</c:v>
                </c:pt>
                <c:pt idx="3">
                  <c:v>41365</c:v>
                </c:pt>
                <c:pt idx="4">
                  <c:v>41395</c:v>
                </c:pt>
                <c:pt idx="5">
                  <c:v>41426</c:v>
                </c:pt>
                <c:pt idx="6">
                  <c:v>41456</c:v>
                </c:pt>
                <c:pt idx="7">
                  <c:v>41487</c:v>
                </c:pt>
                <c:pt idx="8">
                  <c:v>41518</c:v>
                </c:pt>
                <c:pt idx="9">
                  <c:v>41548</c:v>
                </c:pt>
                <c:pt idx="10">
                  <c:v>41579</c:v>
                </c:pt>
              </c:numCache>
            </c:numRef>
          </c:cat>
          <c:val>
            <c:numRef>
              <c:f>'OPA Components of GAM '!$B$20:$L$20</c:f>
              <c:numCache>
                <c:formatCode>_(* #,##0_);_(* \(#,##0\);_(* "-"??_);_(@_)</c:formatCode>
                <c:ptCount val="11"/>
                <c:pt idx="0">
                  <c:v>187.31810999999999</c:v>
                </c:pt>
                <c:pt idx="1">
                  <c:v>313.08246999999994</c:v>
                </c:pt>
                <c:pt idx="2">
                  <c:v>239.95904000000004</c:v>
                </c:pt>
                <c:pt idx="3">
                  <c:v>233.74559000000002</c:v>
                </c:pt>
                <c:pt idx="4">
                  <c:v>310.86167999999998</c:v>
                </c:pt>
                <c:pt idx="5">
                  <c:v>298.81408999999996</c:v>
                </c:pt>
                <c:pt idx="6">
                  <c:v>288.10212999999999</c:v>
                </c:pt>
                <c:pt idx="7">
                  <c:v>321.947</c:v>
                </c:pt>
                <c:pt idx="8">
                  <c:v>323.29408461286539</c:v>
                </c:pt>
                <c:pt idx="9">
                  <c:v>344.21265999999997</c:v>
                </c:pt>
                <c:pt idx="10">
                  <c:v>326.76638000000003</c:v>
                </c:pt>
              </c:numCache>
            </c:numRef>
          </c:val>
          <c:extLst>
            <c:ext xmlns:c16="http://schemas.microsoft.com/office/drawing/2014/chart" uri="{C3380CC4-5D6E-409C-BE32-E72D297353CC}">
              <c16:uniqueId val="{00000000-7FD8-46C7-8C73-DC98547260C3}"/>
            </c:ext>
          </c:extLst>
        </c:ser>
        <c:ser>
          <c:idx val="1"/>
          <c:order val="1"/>
          <c:tx>
            <c:strRef>
              <c:f>'OPA Components of GAM '!$A$21</c:f>
              <c:strCache>
                <c:ptCount val="1"/>
                <c:pt idx="0">
                  <c:v>Conservation</c:v>
                </c:pt>
              </c:strCache>
            </c:strRef>
          </c:tx>
          <c:invertIfNegative val="0"/>
          <c:cat>
            <c:numRef>
              <c:f>'OPA Components of GAM '!$B$19:$L$19</c:f>
              <c:numCache>
                <c:formatCode>mmm\-yy</c:formatCode>
                <c:ptCount val="11"/>
                <c:pt idx="0">
                  <c:v>41275</c:v>
                </c:pt>
                <c:pt idx="1">
                  <c:v>41306</c:v>
                </c:pt>
                <c:pt idx="2">
                  <c:v>41334</c:v>
                </c:pt>
                <c:pt idx="3">
                  <c:v>41365</c:v>
                </c:pt>
                <c:pt idx="4">
                  <c:v>41395</c:v>
                </c:pt>
                <c:pt idx="5">
                  <c:v>41426</c:v>
                </c:pt>
                <c:pt idx="6">
                  <c:v>41456</c:v>
                </c:pt>
                <c:pt idx="7">
                  <c:v>41487</c:v>
                </c:pt>
                <c:pt idx="8">
                  <c:v>41518</c:v>
                </c:pt>
                <c:pt idx="9">
                  <c:v>41548</c:v>
                </c:pt>
                <c:pt idx="10">
                  <c:v>41579</c:v>
                </c:pt>
              </c:numCache>
            </c:numRef>
          </c:cat>
          <c:val>
            <c:numRef>
              <c:f>'OPA Components of GAM '!$B$21:$L$21</c:f>
              <c:numCache>
                <c:formatCode>_(* #,##0_);_(* \(#,##0\);_(* "-"??_);_(@_)</c:formatCode>
                <c:ptCount val="11"/>
                <c:pt idx="0">
                  <c:v>26303.700550000001</c:v>
                </c:pt>
                <c:pt idx="1">
                  <c:v>20030.02261</c:v>
                </c:pt>
                <c:pt idx="2">
                  <c:v>24799.552350000002</c:v>
                </c:pt>
                <c:pt idx="3">
                  <c:v>30434.905910000001</c:v>
                </c:pt>
                <c:pt idx="4">
                  <c:v>17967.066460000002</c:v>
                </c:pt>
                <c:pt idx="5">
                  <c:v>54295.210530000004</c:v>
                </c:pt>
                <c:pt idx="6">
                  <c:v>-11448.55545</c:v>
                </c:pt>
                <c:pt idx="7">
                  <c:v>22183.086789999998</c:v>
                </c:pt>
                <c:pt idx="8">
                  <c:v>22067.509239999999</c:v>
                </c:pt>
                <c:pt idx="9">
                  <c:v>23641.78096</c:v>
                </c:pt>
                <c:pt idx="10">
                  <c:v>23919.16948</c:v>
                </c:pt>
              </c:numCache>
            </c:numRef>
          </c:val>
          <c:extLst>
            <c:ext xmlns:c16="http://schemas.microsoft.com/office/drawing/2014/chart" uri="{C3380CC4-5D6E-409C-BE32-E72D297353CC}">
              <c16:uniqueId val="{00000001-7FD8-46C7-8C73-DC98547260C3}"/>
            </c:ext>
          </c:extLst>
        </c:ser>
        <c:ser>
          <c:idx val="2"/>
          <c:order val="2"/>
          <c:tx>
            <c:strRef>
              <c:f>'OPA Components of GAM '!$A$22</c:f>
              <c:strCache>
                <c:ptCount val="1"/>
                <c:pt idx="0">
                  <c:v>Hydro</c:v>
                </c:pt>
              </c:strCache>
            </c:strRef>
          </c:tx>
          <c:invertIfNegative val="0"/>
          <c:cat>
            <c:numRef>
              <c:f>'OPA Components of GAM '!$B$19:$L$19</c:f>
              <c:numCache>
                <c:formatCode>mmm\-yy</c:formatCode>
                <c:ptCount val="11"/>
                <c:pt idx="0">
                  <c:v>41275</c:v>
                </c:pt>
                <c:pt idx="1">
                  <c:v>41306</c:v>
                </c:pt>
                <c:pt idx="2">
                  <c:v>41334</c:v>
                </c:pt>
                <c:pt idx="3">
                  <c:v>41365</c:v>
                </c:pt>
                <c:pt idx="4">
                  <c:v>41395</c:v>
                </c:pt>
                <c:pt idx="5">
                  <c:v>41426</c:v>
                </c:pt>
                <c:pt idx="6">
                  <c:v>41456</c:v>
                </c:pt>
                <c:pt idx="7">
                  <c:v>41487</c:v>
                </c:pt>
                <c:pt idx="8">
                  <c:v>41518</c:v>
                </c:pt>
                <c:pt idx="9">
                  <c:v>41548</c:v>
                </c:pt>
                <c:pt idx="10">
                  <c:v>41579</c:v>
                </c:pt>
              </c:numCache>
            </c:numRef>
          </c:cat>
          <c:val>
            <c:numRef>
              <c:f>'OPA Components of GAM '!$B$22:$L$22</c:f>
              <c:numCache>
                <c:formatCode>_(* #,##0_);_(* \(#,##0\);_(* "-"??_);_(@_)</c:formatCode>
                <c:ptCount val="11"/>
                <c:pt idx="0">
                  <c:v>17911.962536180574</c:v>
                </c:pt>
                <c:pt idx="1">
                  <c:v>23660.24603339914</c:v>
                </c:pt>
                <c:pt idx="2">
                  <c:v>17777.26786802489</c:v>
                </c:pt>
                <c:pt idx="3">
                  <c:v>11346.634785329696</c:v>
                </c:pt>
                <c:pt idx="4">
                  <c:v>26404.406517042535</c:v>
                </c:pt>
                <c:pt idx="5">
                  <c:v>24112.710810916426</c:v>
                </c:pt>
                <c:pt idx="6">
                  <c:v>18219.151243291442</c:v>
                </c:pt>
                <c:pt idx="7">
                  <c:v>24613.782535602557</c:v>
                </c:pt>
                <c:pt idx="8">
                  <c:v>21097.635359237098</c:v>
                </c:pt>
                <c:pt idx="9">
                  <c:v>19411.946778253288</c:v>
                </c:pt>
                <c:pt idx="10">
                  <c:v>29511.621450263181</c:v>
                </c:pt>
              </c:numCache>
            </c:numRef>
          </c:val>
          <c:extLst>
            <c:ext xmlns:c16="http://schemas.microsoft.com/office/drawing/2014/chart" uri="{C3380CC4-5D6E-409C-BE32-E72D297353CC}">
              <c16:uniqueId val="{00000002-7FD8-46C7-8C73-DC98547260C3}"/>
            </c:ext>
          </c:extLst>
        </c:ser>
        <c:ser>
          <c:idx val="3"/>
          <c:order val="3"/>
          <c:tx>
            <c:strRef>
              <c:f>'OPA Components of GAM '!$A$23</c:f>
              <c:strCache>
                <c:ptCount val="1"/>
                <c:pt idx="0">
                  <c:v>Natural gas</c:v>
                </c:pt>
              </c:strCache>
            </c:strRef>
          </c:tx>
          <c:invertIfNegative val="0"/>
          <c:cat>
            <c:numRef>
              <c:f>'OPA Components of GAM '!$B$19:$L$19</c:f>
              <c:numCache>
                <c:formatCode>mmm\-yy</c:formatCode>
                <c:ptCount val="11"/>
                <c:pt idx="0">
                  <c:v>41275</c:v>
                </c:pt>
                <c:pt idx="1">
                  <c:v>41306</c:v>
                </c:pt>
                <c:pt idx="2">
                  <c:v>41334</c:v>
                </c:pt>
                <c:pt idx="3">
                  <c:v>41365</c:v>
                </c:pt>
                <c:pt idx="4">
                  <c:v>41395</c:v>
                </c:pt>
                <c:pt idx="5">
                  <c:v>41426</c:v>
                </c:pt>
                <c:pt idx="6">
                  <c:v>41456</c:v>
                </c:pt>
                <c:pt idx="7">
                  <c:v>41487</c:v>
                </c:pt>
                <c:pt idx="8">
                  <c:v>41518</c:v>
                </c:pt>
                <c:pt idx="9">
                  <c:v>41548</c:v>
                </c:pt>
                <c:pt idx="10">
                  <c:v>41579</c:v>
                </c:pt>
              </c:numCache>
            </c:numRef>
          </c:cat>
          <c:val>
            <c:numRef>
              <c:f>'OPA Components of GAM '!$B$23:$L$23</c:f>
              <c:numCache>
                <c:formatCode>_(* #,##0_);_(* \(#,##0\);_(* "-"??_);_(@_)</c:formatCode>
                <c:ptCount val="11"/>
                <c:pt idx="0">
                  <c:v>95231.416479536943</c:v>
                </c:pt>
                <c:pt idx="1">
                  <c:v>104758.27091484808</c:v>
                </c:pt>
                <c:pt idx="2">
                  <c:v>102424.36768285098</c:v>
                </c:pt>
                <c:pt idx="3">
                  <c:v>111119.03169389382</c:v>
                </c:pt>
                <c:pt idx="4">
                  <c:v>128757.70696876106</c:v>
                </c:pt>
                <c:pt idx="5">
                  <c:v>114709.25686637168</c:v>
                </c:pt>
                <c:pt idx="6">
                  <c:v>100163.9657423009</c:v>
                </c:pt>
                <c:pt idx="7">
                  <c:v>104777.56411000002</c:v>
                </c:pt>
                <c:pt idx="8">
                  <c:v>72119.891115840699</c:v>
                </c:pt>
                <c:pt idx="9">
                  <c:v>88333.393501769911</c:v>
                </c:pt>
                <c:pt idx="10">
                  <c:v>81855.723316460178</c:v>
                </c:pt>
              </c:numCache>
            </c:numRef>
          </c:val>
          <c:extLst>
            <c:ext xmlns:c16="http://schemas.microsoft.com/office/drawing/2014/chart" uri="{C3380CC4-5D6E-409C-BE32-E72D297353CC}">
              <c16:uniqueId val="{00000003-7FD8-46C7-8C73-DC98547260C3}"/>
            </c:ext>
          </c:extLst>
        </c:ser>
        <c:ser>
          <c:idx val="4"/>
          <c:order val="4"/>
          <c:tx>
            <c:strRef>
              <c:f>'OPA Components of GAM '!$A$24</c:f>
              <c:strCache>
                <c:ptCount val="1"/>
                <c:pt idx="0">
                  <c:v>Nuclear</c:v>
                </c:pt>
              </c:strCache>
            </c:strRef>
          </c:tx>
          <c:invertIfNegative val="0"/>
          <c:cat>
            <c:numRef>
              <c:f>'OPA Components of GAM '!$B$19:$L$19</c:f>
              <c:numCache>
                <c:formatCode>mmm\-yy</c:formatCode>
                <c:ptCount val="11"/>
                <c:pt idx="0">
                  <c:v>41275</c:v>
                </c:pt>
                <c:pt idx="1">
                  <c:v>41306</c:v>
                </c:pt>
                <c:pt idx="2">
                  <c:v>41334</c:v>
                </c:pt>
                <c:pt idx="3">
                  <c:v>41365</c:v>
                </c:pt>
                <c:pt idx="4">
                  <c:v>41395</c:v>
                </c:pt>
                <c:pt idx="5">
                  <c:v>41426</c:v>
                </c:pt>
                <c:pt idx="6">
                  <c:v>41456</c:v>
                </c:pt>
                <c:pt idx="7">
                  <c:v>41487</c:v>
                </c:pt>
                <c:pt idx="8">
                  <c:v>41518</c:v>
                </c:pt>
                <c:pt idx="9">
                  <c:v>41548</c:v>
                </c:pt>
                <c:pt idx="10">
                  <c:v>41579</c:v>
                </c:pt>
              </c:numCache>
            </c:numRef>
          </c:cat>
          <c:val>
            <c:numRef>
              <c:f>'OPA Components of GAM '!$B$24:$L$24</c:f>
              <c:numCache>
                <c:formatCode>_(* #,##0_);_(* \(#,##0\);_(* "-"??_);_(@_)</c:formatCode>
                <c:ptCount val="11"/>
                <c:pt idx="0">
                  <c:v>171904.30637302625</c:v>
                </c:pt>
                <c:pt idx="1">
                  <c:v>102224.68523999979</c:v>
                </c:pt>
                <c:pt idx="2">
                  <c:v>102530.38116797381</c:v>
                </c:pt>
                <c:pt idx="3">
                  <c:v>131341.11921000012</c:v>
                </c:pt>
                <c:pt idx="4">
                  <c:v>125723.47547999991</c:v>
                </c:pt>
                <c:pt idx="5">
                  <c:v>163234.14337000021</c:v>
                </c:pt>
                <c:pt idx="6">
                  <c:v>175859.00979999985</c:v>
                </c:pt>
                <c:pt idx="7">
                  <c:v>161331.42065999989</c:v>
                </c:pt>
                <c:pt idx="8">
                  <c:v>184763.25595400023</c:v>
                </c:pt>
                <c:pt idx="9">
                  <c:v>122960.60016999996</c:v>
                </c:pt>
                <c:pt idx="10">
                  <c:v>254249.22117172016</c:v>
                </c:pt>
              </c:numCache>
            </c:numRef>
          </c:val>
          <c:extLst>
            <c:ext xmlns:c16="http://schemas.microsoft.com/office/drawing/2014/chart" uri="{C3380CC4-5D6E-409C-BE32-E72D297353CC}">
              <c16:uniqueId val="{00000004-7FD8-46C7-8C73-DC98547260C3}"/>
            </c:ext>
          </c:extLst>
        </c:ser>
        <c:ser>
          <c:idx val="5"/>
          <c:order val="5"/>
          <c:tx>
            <c:strRef>
              <c:f>'OPA Components of GAM '!$A$25</c:f>
              <c:strCache>
                <c:ptCount val="1"/>
                <c:pt idx="0">
                  <c:v>Others</c:v>
                </c:pt>
              </c:strCache>
            </c:strRef>
          </c:tx>
          <c:invertIfNegative val="0"/>
          <c:cat>
            <c:numRef>
              <c:f>'OPA Components of GAM '!$B$19:$L$19</c:f>
              <c:numCache>
                <c:formatCode>mmm\-yy</c:formatCode>
                <c:ptCount val="11"/>
                <c:pt idx="0">
                  <c:v>41275</c:v>
                </c:pt>
                <c:pt idx="1">
                  <c:v>41306</c:v>
                </c:pt>
                <c:pt idx="2">
                  <c:v>41334</c:v>
                </c:pt>
                <c:pt idx="3">
                  <c:v>41365</c:v>
                </c:pt>
                <c:pt idx="4">
                  <c:v>41395</c:v>
                </c:pt>
                <c:pt idx="5">
                  <c:v>41426</c:v>
                </c:pt>
                <c:pt idx="6">
                  <c:v>41456</c:v>
                </c:pt>
                <c:pt idx="7">
                  <c:v>41487</c:v>
                </c:pt>
                <c:pt idx="8">
                  <c:v>41518</c:v>
                </c:pt>
                <c:pt idx="9">
                  <c:v>41548</c:v>
                </c:pt>
                <c:pt idx="10">
                  <c:v>41579</c:v>
                </c:pt>
              </c:numCache>
            </c:numRef>
          </c:cat>
          <c:val>
            <c:numRef>
              <c:f>'OPA Components of GAM '!$B$25:$L$25</c:f>
              <c:numCache>
                <c:formatCode>_(* #,##0_);_(* \(#,##0\);_(* "-"??_);_(@_)</c:formatCode>
                <c:ptCount val="11"/>
                <c:pt idx="0">
                  <c:v>275.41884999999996</c:v>
                </c:pt>
                <c:pt idx="1">
                  <c:v>-2580.7340399999998</c:v>
                </c:pt>
                <c:pt idx="2">
                  <c:v>-555.74739</c:v>
                </c:pt>
                <c:pt idx="3">
                  <c:v>-2410.6786899999997</c:v>
                </c:pt>
                <c:pt idx="4">
                  <c:v>-1667.1955</c:v>
                </c:pt>
                <c:pt idx="5">
                  <c:v>38.259730000000005</c:v>
                </c:pt>
                <c:pt idx="6">
                  <c:v>-54.47701</c:v>
                </c:pt>
                <c:pt idx="7">
                  <c:v>-67.393969999999996</c:v>
                </c:pt>
                <c:pt idx="8">
                  <c:v>-2006.0882300000001</c:v>
                </c:pt>
                <c:pt idx="9">
                  <c:v>-411.13271000000003</c:v>
                </c:pt>
                <c:pt idx="10">
                  <c:v>-775.60514000000001</c:v>
                </c:pt>
              </c:numCache>
            </c:numRef>
          </c:val>
          <c:extLst>
            <c:ext xmlns:c16="http://schemas.microsoft.com/office/drawing/2014/chart" uri="{C3380CC4-5D6E-409C-BE32-E72D297353CC}">
              <c16:uniqueId val="{00000005-7FD8-46C7-8C73-DC98547260C3}"/>
            </c:ext>
          </c:extLst>
        </c:ser>
        <c:ser>
          <c:idx val="6"/>
          <c:order val="6"/>
          <c:tx>
            <c:strRef>
              <c:f>'OPA Components of GAM '!$A$26</c:f>
              <c:strCache>
                <c:ptCount val="1"/>
                <c:pt idx="0">
                  <c:v>Renewables</c:v>
                </c:pt>
              </c:strCache>
            </c:strRef>
          </c:tx>
          <c:invertIfNegative val="0"/>
          <c:cat>
            <c:numRef>
              <c:f>'OPA Components of GAM '!$B$19:$L$19</c:f>
              <c:numCache>
                <c:formatCode>mmm\-yy</c:formatCode>
                <c:ptCount val="11"/>
                <c:pt idx="0">
                  <c:v>41275</c:v>
                </c:pt>
                <c:pt idx="1">
                  <c:v>41306</c:v>
                </c:pt>
                <c:pt idx="2">
                  <c:v>41334</c:v>
                </c:pt>
                <c:pt idx="3">
                  <c:v>41365</c:v>
                </c:pt>
                <c:pt idx="4">
                  <c:v>41395</c:v>
                </c:pt>
                <c:pt idx="5">
                  <c:v>41426</c:v>
                </c:pt>
                <c:pt idx="6">
                  <c:v>41456</c:v>
                </c:pt>
                <c:pt idx="7">
                  <c:v>41487</c:v>
                </c:pt>
                <c:pt idx="8">
                  <c:v>41518</c:v>
                </c:pt>
                <c:pt idx="9">
                  <c:v>41548</c:v>
                </c:pt>
                <c:pt idx="10">
                  <c:v>41579</c:v>
                </c:pt>
              </c:numCache>
            </c:numRef>
          </c:cat>
          <c:val>
            <c:numRef>
              <c:f>'OPA Components of GAM '!$B$26:$L$26</c:f>
              <c:numCache>
                <c:formatCode>_(* #,##0_);_(* \(#,##0\);_(* "-"??_);_(@_)</c:formatCode>
                <c:ptCount val="11"/>
                <c:pt idx="0">
                  <c:v>36937.64553514999</c:v>
                </c:pt>
                <c:pt idx="1">
                  <c:v>36552.954067600011</c:v>
                </c:pt>
                <c:pt idx="2">
                  <c:v>36454.213409321594</c:v>
                </c:pt>
                <c:pt idx="3">
                  <c:v>39594.835021589999</c:v>
                </c:pt>
                <c:pt idx="4">
                  <c:v>33833.206918219999</c:v>
                </c:pt>
                <c:pt idx="5">
                  <c:v>27107.453767990002</c:v>
                </c:pt>
                <c:pt idx="6">
                  <c:v>19137.134164719995</c:v>
                </c:pt>
                <c:pt idx="7">
                  <c:v>19302.7097593</c:v>
                </c:pt>
                <c:pt idx="8">
                  <c:v>21305.706757733569</c:v>
                </c:pt>
                <c:pt idx="9">
                  <c:v>35239.302855446433</c:v>
                </c:pt>
                <c:pt idx="10">
                  <c:v>78228.94057821999</c:v>
                </c:pt>
              </c:numCache>
            </c:numRef>
          </c:val>
          <c:extLst>
            <c:ext xmlns:c16="http://schemas.microsoft.com/office/drawing/2014/chart" uri="{C3380CC4-5D6E-409C-BE32-E72D297353CC}">
              <c16:uniqueId val="{00000006-7FD8-46C7-8C73-DC98547260C3}"/>
            </c:ext>
          </c:extLst>
        </c:ser>
        <c:ser>
          <c:idx val="7"/>
          <c:order val="7"/>
          <c:tx>
            <c:strRef>
              <c:f>Chart!#REF!</c:f>
              <c:strCache>
                <c:ptCount val="1"/>
                <c:pt idx="0">
                  <c:v>#REF!</c:v>
                </c:pt>
              </c:strCache>
            </c:strRef>
          </c:tx>
          <c:invertIfNegative val="0"/>
          <c:cat>
            <c:numRef>
              <c:f>'OPA Components of GAM '!$B$19:$L$19</c:f>
              <c:numCache>
                <c:formatCode>mmm\-yy</c:formatCode>
                <c:ptCount val="11"/>
                <c:pt idx="0">
                  <c:v>41275</c:v>
                </c:pt>
                <c:pt idx="1">
                  <c:v>41306</c:v>
                </c:pt>
                <c:pt idx="2">
                  <c:v>41334</c:v>
                </c:pt>
                <c:pt idx="3">
                  <c:v>41365</c:v>
                </c:pt>
                <c:pt idx="4">
                  <c:v>41395</c:v>
                </c:pt>
                <c:pt idx="5">
                  <c:v>41426</c:v>
                </c:pt>
                <c:pt idx="6">
                  <c:v>41456</c:v>
                </c:pt>
                <c:pt idx="7">
                  <c:v>41487</c:v>
                </c:pt>
                <c:pt idx="8">
                  <c:v>41518</c:v>
                </c:pt>
                <c:pt idx="9">
                  <c:v>41548</c:v>
                </c:pt>
                <c:pt idx="10">
                  <c:v>41579</c:v>
                </c:pt>
              </c:numCache>
            </c:numRef>
          </c:cat>
          <c:val>
            <c:numRef>
              <c:f>Chart!#REF!</c:f>
              <c:numCache>
                <c:formatCode>General</c:formatCode>
                <c:ptCount val="1"/>
                <c:pt idx="0">
                  <c:v>1</c:v>
                </c:pt>
              </c:numCache>
            </c:numRef>
          </c:val>
          <c:extLst>
            <c:ext xmlns:c16="http://schemas.microsoft.com/office/drawing/2014/chart" uri="{C3380CC4-5D6E-409C-BE32-E72D297353CC}">
              <c16:uniqueId val="{00000007-7FD8-46C7-8C73-DC98547260C3}"/>
            </c:ext>
          </c:extLst>
        </c:ser>
        <c:ser>
          <c:idx val="8"/>
          <c:order val="8"/>
          <c:tx>
            <c:strRef>
              <c:f>'OPA Components of GAM '!$A$27</c:f>
              <c:strCache>
                <c:ptCount val="1"/>
                <c:pt idx="0">
                  <c:v>By-products</c:v>
                </c:pt>
              </c:strCache>
            </c:strRef>
          </c:tx>
          <c:invertIfNegative val="0"/>
          <c:cat>
            <c:numRef>
              <c:f>'OPA Components of GAM '!$B$19:$L$19</c:f>
              <c:numCache>
                <c:formatCode>mmm\-yy</c:formatCode>
                <c:ptCount val="11"/>
                <c:pt idx="0">
                  <c:v>41275</c:v>
                </c:pt>
                <c:pt idx="1">
                  <c:v>41306</c:v>
                </c:pt>
                <c:pt idx="2">
                  <c:v>41334</c:v>
                </c:pt>
                <c:pt idx="3">
                  <c:v>41365</c:v>
                </c:pt>
                <c:pt idx="4">
                  <c:v>41395</c:v>
                </c:pt>
                <c:pt idx="5">
                  <c:v>41426</c:v>
                </c:pt>
                <c:pt idx="6">
                  <c:v>41456</c:v>
                </c:pt>
                <c:pt idx="7">
                  <c:v>41487</c:v>
                </c:pt>
                <c:pt idx="8">
                  <c:v>41518</c:v>
                </c:pt>
                <c:pt idx="9">
                  <c:v>41548</c:v>
                </c:pt>
                <c:pt idx="10">
                  <c:v>41579</c:v>
                </c:pt>
              </c:numCache>
            </c:numRef>
          </c:cat>
          <c:val>
            <c:numRef>
              <c:f>'OPA Components of GAM '!$B$27:$L$27</c:f>
              <c:numCache>
                <c:formatCode>_(* #,##0_);_(* \(#,##0\);_(* "-"??_);_(@_)</c:formatCode>
                <c:ptCount val="11"/>
                <c:pt idx="0">
                  <c:v>2488.1760100000001</c:v>
                </c:pt>
                <c:pt idx="1">
                  <c:v>2383.4151200000001</c:v>
                </c:pt>
                <c:pt idx="2">
                  <c:v>2563.1226699999997</c:v>
                </c:pt>
                <c:pt idx="3">
                  <c:v>2705.3758800000001</c:v>
                </c:pt>
                <c:pt idx="4">
                  <c:v>3005.9562900000001</c:v>
                </c:pt>
                <c:pt idx="5">
                  <c:v>2986.51602</c:v>
                </c:pt>
                <c:pt idx="6">
                  <c:v>1718.0236568261992</c:v>
                </c:pt>
                <c:pt idx="7">
                  <c:v>3260.5675499999998</c:v>
                </c:pt>
                <c:pt idx="8">
                  <c:v>3323.1868000000004</c:v>
                </c:pt>
                <c:pt idx="9">
                  <c:v>3019.4129499999999</c:v>
                </c:pt>
                <c:pt idx="10">
                  <c:v>3149.7127599999999</c:v>
                </c:pt>
              </c:numCache>
            </c:numRef>
          </c:val>
          <c:extLst>
            <c:ext xmlns:c16="http://schemas.microsoft.com/office/drawing/2014/chart" uri="{C3380CC4-5D6E-409C-BE32-E72D297353CC}">
              <c16:uniqueId val="{00000008-7FD8-46C7-8C73-DC98547260C3}"/>
            </c:ext>
          </c:extLst>
        </c:ser>
        <c:dLbls>
          <c:showLegendKey val="0"/>
          <c:showVal val="0"/>
          <c:showCatName val="0"/>
          <c:showSerName val="0"/>
          <c:showPercent val="0"/>
          <c:showBubbleSize val="0"/>
        </c:dLbls>
        <c:gapWidth val="150"/>
        <c:overlap val="100"/>
        <c:axId val="127389696"/>
        <c:axId val="127392384"/>
      </c:barChart>
      <c:dateAx>
        <c:axId val="127389696"/>
        <c:scaling>
          <c:orientation val="minMax"/>
        </c:scaling>
        <c:delete val="0"/>
        <c:axPos val="b"/>
        <c:title>
          <c:tx>
            <c:rich>
              <a:bodyPr/>
              <a:lstStyle/>
              <a:p>
                <a:pPr>
                  <a:defRPr/>
                </a:pPr>
                <a:r>
                  <a:rPr lang="en-US"/>
                  <a:t>Month</a:t>
                </a:r>
              </a:p>
            </c:rich>
          </c:tx>
          <c:overlay val="0"/>
        </c:title>
        <c:numFmt formatCode="mmm\-yy" sourceLinked="1"/>
        <c:majorTickMark val="out"/>
        <c:minorTickMark val="none"/>
        <c:tickLblPos val="nextTo"/>
        <c:crossAx val="127392384"/>
        <c:crosses val="autoZero"/>
        <c:auto val="1"/>
        <c:lblOffset val="100"/>
        <c:baseTimeUnit val="months"/>
      </c:dateAx>
      <c:valAx>
        <c:axId val="127392384"/>
        <c:scaling>
          <c:orientation val="minMax"/>
        </c:scaling>
        <c:delete val="0"/>
        <c:axPos val="l"/>
        <c:majorGridlines/>
        <c:title>
          <c:tx>
            <c:rich>
              <a:bodyPr rot="-5400000" vert="horz"/>
              <a:lstStyle/>
              <a:p>
                <a:pPr>
                  <a:defRPr/>
                </a:pPr>
                <a:r>
                  <a:rPr lang="en-US"/>
                  <a:t>($) 000's</a:t>
                </a:r>
              </a:p>
            </c:rich>
          </c:tx>
          <c:layout>
            <c:manualLayout>
              <c:xMode val="edge"/>
              <c:yMode val="edge"/>
              <c:x val="0"/>
              <c:y val="0.48946159320829158"/>
            </c:manualLayout>
          </c:layout>
          <c:overlay val="0"/>
        </c:title>
        <c:numFmt formatCode="_(* #,##0_);_(* \(#,##0\);_(* &quot;-&quot;??_);_(@_)" sourceLinked="1"/>
        <c:majorTickMark val="out"/>
        <c:minorTickMark val="none"/>
        <c:tickLblPos val="nextTo"/>
        <c:crossAx val="127389696"/>
        <c:crosses val="autoZero"/>
        <c:crossBetween val="between"/>
      </c:valAx>
    </c:plotArea>
    <c:legend>
      <c:legendPos val="r"/>
      <c:legendEntry>
        <c:idx val="1"/>
        <c:delete val="1"/>
      </c:legendEntry>
      <c:overlay val="0"/>
    </c:legend>
    <c:plotVisOnly val="1"/>
    <c:dispBlanksAs val="gap"/>
    <c:showDLblsOverMax val="0"/>
  </c:chart>
  <c:printSettings>
    <c:headerFooter/>
    <c:pageMargins b="0.750000000000006" l="0.70000000000000062" r="0.70000000000000062" t="0.75000000000000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Time Series - Major GAM Components </a:t>
            </a:r>
          </a:p>
        </c:rich>
      </c:tx>
      <c:overlay val="1"/>
    </c:title>
    <c:autoTitleDeleted val="0"/>
    <c:plotArea>
      <c:layout>
        <c:manualLayout>
          <c:layoutTarget val="inner"/>
          <c:xMode val="edge"/>
          <c:yMode val="edge"/>
          <c:x val="5.8007900527585574E-2"/>
          <c:y val="9.8509657446665344E-2"/>
          <c:w val="0.92717728465759963"/>
          <c:h val="0.79650195167911764"/>
        </c:manualLayout>
      </c:layout>
      <c:barChart>
        <c:barDir val="col"/>
        <c:grouping val="clustered"/>
        <c:varyColors val="0"/>
        <c:ser>
          <c:idx val="0"/>
          <c:order val="0"/>
          <c:tx>
            <c:strRef>
              <c:f>'Time Series GAM Components'!$A$8</c:f>
              <c:strCache>
                <c:ptCount val="1"/>
                <c:pt idx="0">
                  <c:v>Ontario Electricity Financial Corporation - Non-Utility Generation</c:v>
                </c:pt>
              </c:strCache>
            </c:strRef>
          </c:tx>
          <c:invertIfNegative val="0"/>
          <c:cat>
            <c:strRef>
              <c:f>'Time Series GAM Components'!$B$7:$T$7</c:f>
              <c:strCache>
                <c:ptCount val="19"/>
                <c:pt idx="0">
                  <c:v>Q1 2009</c:v>
                </c:pt>
                <c:pt idx="1">
                  <c:v>Q2 2009</c:v>
                </c:pt>
                <c:pt idx="2">
                  <c:v>Q3 2009</c:v>
                </c:pt>
                <c:pt idx="3">
                  <c:v>Q4 2009</c:v>
                </c:pt>
                <c:pt idx="4">
                  <c:v>Q1 2010</c:v>
                </c:pt>
                <c:pt idx="5">
                  <c:v>Q2 2010</c:v>
                </c:pt>
                <c:pt idx="6">
                  <c:v>Q3 2010</c:v>
                </c:pt>
                <c:pt idx="7">
                  <c:v>Q4 2010</c:v>
                </c:pt>
                <c:pt idx="8">
                  <c:v>Q1 2011</c:v>
                </c:pt>
                <c:pt idx="9">
                  <c:v>Q2 2011</c:v>
                </c:pt>
                <c:pt idx="10">
                  <c:v>Q3 2011</c:v>
                </c:pt>
                <c:pt idx="11">
                  <c:v>Q4 2011</c:v>
                </c:pt>
                <c:pt idx="12">
                  <c:v>Q1 2012</c:v>
                </c:pt>
                <c:pt idx="13">
                  <c:v>Q2 2012</c:v>
                </c:pt>
                <c:pt idx="14">
                  <c:v>Q3 2012</c:v>
                </c:pt>
                <c:pt idx="15">
                  <c:v>Q4 2012</c:v>
                </c:pt>
                <c:pt idx="16">
                  <c:v>Q1 2013</c:v>
                </c:pt>
                <c:pt idx="17">
                  <c:v>Q2 2013</c:v>
                </c:pt>
                <c:pt idx="18">
                  <c:v>Q3 2013</c:v>
                </c:pt>
              </c:strCache>
            </c:strRef>
          </c:cat>
          <c:val>
            <c:numRef>
              <c:f>'Time Series GAM Components'!$B$8:$T$8</c:f>
              <c:numCache>
                <c:formatCode>_-* #,##0_-;\-* #,##0_-;_-* "-"??_-;_-@_-</c:formatCode>
                <c:ptCount val="19"/>
                <c:pt idx="0">
                  <c:v>146.19133099999999</c:v>
                </c:pt>
                <c:pt idx="1">
                  <c:v>238.45450899999997</c:v>
                </c:pt>
                <c:pt idx="2" formatCode="_(* #,##0_);_(* \(#,##0\);_(* &quot;-&quot;??_);_(@_)">
                  <c:v>268.97113000000002</c:v>
                </c:pt>
                <c:pt idx="3" formatCode="_(* #,##0_);_(* \(#,##0\);_(* &quot;-&quot;??_);_(@_)">
                  <c:v>307.99636399999997</c:v>
                </c:pt>
                <c:pt idx="4" formatCode="_(* #,##0_);_(* \(#,##0\);_(* &quot;-&quot;??_);_(@_)">
                  <c:v>316.96858299999997</c:v>
                </c:pt>
                <c:pt idx="5" formatCode="_(* #,##0_);_(* \(#,##0\);_(* &quot;-&quot;??_);_(@_)">
                  <c:v>224.57094899999998</c:v>
                </c:pt>
                <c:pt idx="6" formatCode="_(* #,##0_);_(* \(#,##0\);_(* &quot;-&quot;??_);_(@_)">
                  <c:v>121.71879199999999</c:v>
                </c:pt>
                <c:pt idx="7" formatCode="_(* #,##0_);_(* \(#,##0\);_(* &quot;-&quot;??_);_(@_)">
                  <c:v>296.41120100000001</c:v>
                </c:pt>
                <c:pt idx="8" formatCode="_(* #,##0_);_(* \(#,##0\);_(* &quot;-&quot;??_);_(@_)">
                  <c:v>305.497929</c:v>
                </c:pt>
                <c:pt idx="9" formatCode="_(* #,##0_);_(* \(#,##0\);_(* &quot;-&quot;??_);_(@_)">
                  <c:v>266.431693</c:v>
                </c:pt>
                <c:pt idx="10" formatCode="_(* #,##0_);_(* \(#,##0\);_(* &quot;-&quot;??_);_(@_)">
                  <c:v>202.027603</c:v>
                </c:pt>
                <c:pt idx="11" formatCode="_(* #,##0_);_(* \(#,##0\);_(* &quot;-&quot;??_);_(@_)">
                  <c:v>309.00638400000003</c:v>
                </c:pt>
                <c:pt idx="12" formatCode="_(* #,##0_);_(* \(#,##0\);_(* &quot;-&quot;??_);_(@_)">
                  <c:v>328.711029</c:v>
                </c:pt>
                <c:pt idx="13" formatCode="_(* #,##0_);_(* \(#,##0\);_(* &quot;-&quot;??_);_(@_)">
                  <c:v>265.53960700000005</c:v>
                </c:pt>
                <c:pt idx="14" formatCode="_(* #,##0_);_(* \(#,##0\);_(* &quot;-&quot;??_);_(@_)">
                  <c:v>212.96427199999999</c:v>
                </c:pt>
                <c:pt idx="15" formatCode="_(* #,##0_);_(* \(#,##0\);_(* &quot;-&quot;??_);_(@_)">
                  <c:v>283.76682199999999</c:v>
                </c:pt>
                <c:pt idx="16" formatCode="_(* #,##0_);_(* \(#,##0\);_(* &quot;-&quot;??_);_(@_)">
                  <c:v>306.50978500000002</c:v>
                </c:pt>
                <c:pt idx="17" formatCode="_(* #,##0_);_(* \(#,##0\);_(* &quot;-&quot;??_);_(@_)">
                  <c:v>271.29813999999999</c:v>
                </c:pt>
                <c:pt idx="18" formatCode="_(* #,##0_);_(* \(#,##0\);_(* &quot;-&quot;??_);_(@_)">
                  <c:v>254.78439800000001</c:v>
                </c:pt>
              </c:numCache>
            </c:numRef>
          </c:val>
          <c:extLst>
            <c:ext xmlns:c16="http://schemas.microsoft.com/office/drawing/2014/chart" uri="{C3380CC4-5D6E-409C-BE32-E72D297353CC}">
              <c16:uniqueId val="{00000000-427C-4075-8A55-2A73F5F1F689}"/>
            </c:ext>
          </c:extLst>
        </c:ser>
        <c:ser>
          <c:idx val="1"/>
          <c:order val="1"/>
          <c:tx>
            <c:strRef>
              <c:f>'Time Series GAM Components'!$A$9</c:f>
              <c:strCache>
                <c:ptCount val="1"/>
                <c:pt idx="0">
                  <c:v>Ontario Power Generation </c:v>
                </c:pt>
              </c:strCache>
            </c:strRef>
          </c:tx>
          <c:invertIfNegative val="0"/>
          <c:cat>
            <c:strRef>
              <c:f>'Time Series GAM Components'!$B$7:$T$7</c:f>
              <c:strCache>
                <c:ptCount val="19"/>
                <c:pt idx="0">
                  <c:v>Q1 2009</c:v>
                </c:pt>
                <c:pt idx="1">
                  <c:v>Q2 2009</c:v>
                </c:pt>
                <c:pt idx="2">
                  <c:v>Q3 2009</c:v>
                </c:pt>
                <c:pt idx="3">
                  <c:v>Q4 2009</c:v>
                </c:pt>
                <c:pt idx="4">
                  <c:v>Q1 2010</c:v>
                </c:pt>
                <c:pt idx="5">
                  <c:v>Q2 2010</c:v>
                </c:pt>
                <c:pt idx="6">
                  <c:v>Q3 2010</c:v>
                </c:pt>
                <c:pt idx="7">
                  <c:v>Q4 2010</c:v>
                </c:pt>
                <c:pt idx="8">
                  <c:v>Q1 2011</c:v>
                </c:pt>
                <c:pt idx="9">
                  <c:v>Q2 2011</c:v>
                </c:pt>
                <c:pt idx="10">
                  <c:v>Q3 2011</c:v>
                </c:pt>
                <c:pt idx="11">
                  <c:v>Q4 2011</c:v>
                </c:pt>
                <c:pt idx="12">
                  <c:v>Q1 2012</c:v>
                </c:pt>
                <c:pt idx="13">
                  <c:v>Q2 2012</c:v>
                </c:pt>
                <c:pt idx="14">
                  <c:v>Q3 2012</c:v>
                </c:pt>
                <c:pt idx="15">
                  <c:v>Q4 2012</c:v>
                </c:pt>
                <c:pt idx="16">
                  <c:v>Q1 2013</c:v>
                </c:pt>
                <c:pt idx="17">
                  <c:v>Q2 2013</c:v>
                </c:pt>
                <c:pt idx="18">
                  <c:v>Q3 2013</c:v>
                </c:pt>
              </c:strCache>
            </c:strRef>
          </c:cat>
          <c:val>
            <c:numRef>
              <c:f>'Time Series GAM Components'!$B$9:$T$9</c:f>
              <c:numCache>
                <c:formatCode>_-* #,##0_-;\-* #,##0_-;_-* "-"??_-;_-@_-</c:formatCode>
                <c:ptCount val="19"/>
                <c:pt idx="0">
                  <c:v>165.34621630000004</c:v>
                </c:pt>
                <c:pt idx="1">
                  <c:v>434.34218786999998</c:v>
                </c:pt>
                <c:pt idx="2" formatCode="_(* #,##0_);_(* \(#,##0\);_(* &quot;-&quot;??_);_(@_)">
                  <c:v>560.42426265999995</c:v>
                </c:pt>
                <c:pt idx="3" formatCode="_(* #,##0_);_(* \(#,##0\);_(* &quot;-&quot;??_);_(@_)">
                  <c:v>391.14151622999998</c:v>
                </c:pt>
                <c:pt idx="4" formatCode="_(* #,##0_);_(* \(#,##0\);_(* &quot;-&quot;??_);_(@_)">
                  <c:v>273.19023233999997</c:v>
                </c:pt>
                <c:pt idx="5" formatCode="_(* #,##0_);_(* \(#,##0\);_(* &quot;-&quot;??_);_(@_)">
                  <c:v>181.62217829000002</c:v>
                </c:pt>
                <c:pt idx="6" formatCode="_(* #,##0_);_(* \(#,##0\);_(* &quot;-&quot;??_);_(@_)">
                  <c:v>120.24749637999999</c:v>
                </c:pt>
                <c:pt idx="7" formatCode="_(* #,##0_);_(* \(#,##0\);_(* &quot;-&quot;??_);_(@_)">
                  <c:v>314.30085597999999</c:v>
                </c:pt>
                <c:pt idx="8" formatCode="_(* #,##0_);_(* \(#,##0\);_(* &quot;-&quot;??_);_(@_)">
                  <c:v>309.50083943999999</c:v>
                </c:pt>
                <c:pt idx="9" formatCode="_(* #,##0_);_(* \(#,##0\);_(* &quot;-&quot;??_);_(@_)">
                  <c:v>354.42898963000005</c:v>
                </c:pt>
                <c:pt idx="10" formatCode="_(* #,##0_);_(* \(#,##0\);_(* &quot;-&quot;??_);_(@_)">
                  <c:v>297.42722497</c:v>
                </c:pt>
                <c:pt idx="11" formatCode="_(* #,##0_);_(* \(#,##0\);_(* &quot;-&quot;??_);_(@_)">
                  <c:v>385.38598023999998</c:v>
                </c:pt>
                <c:pt idx="12" formatCode="_(* #,##0_);_(* \(#,##0\);_(* &quot;-&quot;??_);_(@_)">
                  <c:v>514.67568955000002</c:v>
                </c:pt>
                <c:pt idx="13" formatCode="_(* #,##0_);_(* \(#,##0\);_(* &quot;-&quot;??_);_(@_)">
                  <c:v>514.48214379000001</c:v>
                </c:pt>
                <c:pt idx="14" formatCode="_(* #,##0_);_(* \(#,##0\);_(* &quot;-&quot;??_);_(@_)">
                  <c:v>387.77764509999997</c:v>
                </c:pt>
                <c:pt idx="15" formatCode="_(* #,##0_);_(* \(#,##0\);_(* &quot;-&quot;??_);_(@_)">
                  <c:v>431.42940289999996</c:v>
                </c:pt>
                <c:pt idx="16" formatCode="_(* #,##0_);_(* \(#,##0\);_(* &quot;-&quot;??_);_(@_)">
                  <c:v>345.89351465000004</c:v>
                </c:pt>
                <c:pt idx="17" formatCode="_(* #,##0_);_(* \(#,##0\);_(* &quot;-&quot;??_);_(@_)">
                  <c:v>452.53675251999994</c:v>
                </c:pt>
                <c:pt idx="18" formatCode="_(* #,##0_);_(* \(#,##0\);_(* &quot;-&quot;??_);_(@_)">
                  <c:v>482.44964213000003</c:v>
                </c:pt>
              </c:numCache>
            </c:numRef>
          </c:val>
          <c:extLst>
            <c:ext xmlns:c16="http://schemas.microsoft.com/office/drawing/2014/chart" uri="{C3380CC4-5D6E-409C-BE32-E72D297353CC}">
              <c16:uniqueId val="{00000001-427C-4075-8A55-2A73F5F1F689}"/>
            </c:ext>
          </c:extLst>
        </c:ser>
        <c:ser>
          <c:idx val="2"/>
          <c:order val="2"/>
          <c:tx>
            <c:strRef>
              <c:f>'Time Series GAM Components'!$A$10</c:f>
              <c:strCache>
                <c:ptCount val="1"/>
                <c:pt idx="0">
                  <c:v>OPA Contracts</c:v>
                </c:pt>
              </c:strCache>
            </c:strRef>
          </c:tx>
          <c:invertIfNegative val="0"/>
          <c:cat>
            <c:strRef>
              <c:f>'Time Series GAM Components'!$B$7:$T$7</c:f>
              <c:strCache>
                <c:ptCount val="19"/>
                <c:pt idx="0">
                  <c:v>Q1 2009</c:v>
                </c:pt>
                <c:pt idx="1">
                  <c:v>Q2 2009</c:v>
                </c:pt>
                <c:pt idx="2">
                  <c:v>Q3 2009</c:v>
                </c:pt>
                <c:pt idx="3">
                  <c:v>Q4 2009</c:v>
                </c:pt>
                <c:pt idx="4">
                  <c:v>Q1 2010</c:v>
                </c:pt>
                <c:pt idx="5">
                  <c:v>Q2 2010</c:v>
                </c:pt>
                <c:pt idx="6">
                  <c:v>Q3 2010</c:v>
                </c:pt>
                <c:pt idx="7">
                  <c:v>Q4 2010</c:v>
                </c:pt>
                <c:pt idx="8">
                  <c:v>Q1 2011</c:v>
                </c:pt>
                <c:pt idx="9">
                  <c:v>Q2 2011</c:v>
                </c:pt>
                <c:pt idx="10">
                  <c:v>Q3 2011</c:v>
                </c:pt>
                <c:pt idx="11">
                  <c:v>Q4 2011</c:v>
                </c:pt>
                <c:pt idx="12">
                  <c:v>Q1 2012</c:v>
                </c:pt>
                <c:pt idx="13">
                  <c:v>Q2 2012</c:v>
                </c:pt>
                <c:pt idx="14">
                  <c:v>Q3 2012</c:v>
                </c:pt>
                <c:pt idx="15">
                  <c:v>Q4 2012</c:v>
                </c:pt>
                <c:pt idx="16">
                  <c:v>Q1 2013</c:v>
                </c:pt>
                <c:pt idx="17">
                  <c:v>Q2 2013</c:v>
                </c:pt>
                <c:pt idx="18">
                  <c:v>Q3 2013</c:v>
                </c:pt>
              </c:strCache>
            </c:strRef>
          </c:cat>
          <c:val>
            <c:numRef>
              <c:f>'Time Series GAM Components'!$B$10:$T$10</c:f>
              <c:numCache>
                <c:formatCode>_-* #,##0_-;\-* #,##0_-;_-* "-"??_-;_-@_-</c:formatCode>
                <c:ptCount val="19"/>
                <c:pt idx="0">
                  <c:v>189.02401534000001</c:v>
                </c:pt>
                <c:pt idx="1">
                  <c:v>468.44133980999993</c:v>
                </c:pt>
                <c:pt idx="2" formatCode="_(* #,##0_);_(* \(#,##0\);_(* &quot;-&quot;??_);_(@_)">
                  <c:v>522.00769843000012</c:v>
                </c:pt>
                <c:pt idx="3" formatCode="_(* #,##0_);_(* \(#,##0\);_(* &quot;-&quot;??_);_(@_)">
                  <c:v>526.54843597000013</c:v>
                </c:pt>
                <c:pt idx="4" formatCode="_(* #,##0_);_(* \(#,##0\);_(* &quot;-&quot;??_);_(@_)">
                  <c:v>515.43663698</c:v>
                </c:pt>
                <c:pt idx="5" formatCode="_(* #,##0_);_(* \(#,##0\);_(* &quot;-&quot;??_);_(@_)">
                  <c:v>520.55882859999997</c:v>
                </c:pt>
                <c:pt idx="6" formatCode="_(* #,##0_);_(* \(#,##0\);_(* &quot;-&quot;??_);_(@_)">
                  <c:v>328.27471179000003</c:v>
                </c:pt>
                <c:pt idx="7" formatCode="_(* #,##0_);_(* \(#,##0\);_(* &quot;-&quot;??_);_(@_)">
                  <c:v>635.26632240000492</c:v>
                </c:pt>
                <c:pt idx="8" formatCode="_(* #,##0_);_(* \(#,##0\);_(* &quot;-&quot;??_);_(@_)">
                  <c:v>675.23525718999997</c:v>
                </c:pt>
                <c:pt idx="9" formatCode="_(* #,##0_);_(* \(#,##0\);_(* &quot;-&quot;??_);_(@_)">
                  <c:v>740.94564692000006</c:v>
                </c:pt>
                <c:pt idx="10" formatCode="_(* #,##0_);_(* \(#,##0\);_(* &quot;-&quot;??_);_(@_)">
                  <c:v>709.86851666000007</c:v>
                </c:pt>
                <c:pt idx="11" formatCode="_(* #,##0_);_(* \(#,##0\);_(* &quot;-&quot;??_);_(@_)">
                  <c:v>753.95608756000001</c:v>
                </c:pt>
                <c:pt idx="12" formatCode="_(* #,##0_);_(* \(#,##0\);_(* &quot;-&quot;??_);_(@_)">
                  <c:v>885.4521357399999</c:v>
                </c:pt>
                <c:pt idx="13" formatCode="_(* #,##0_);_(* \(#,##0\);_(* &quot;-&quot;??_);_(@_)">
                  <c:v>977.75506110000015</c:v>
                </c:pt>
                <c:pt idx="14" formatCode="_(* #,##0_);_(* \(#,##0\);_(* &quot;-&quot;??_);_(@_)">
                  <c:v>784.66318075000015</c:v>
                </c:pt>
                <c:pt idx="15" formatCode="_(* #,##0_);_(* \(#,##0\);_(* &quot;-&quot;??_);_(@_)">
                  <c:v>868.58970636999993</c:v>
                </c:pt>
                <c:pt idx="16" formatCode="_(* #,##0_);_(* \(#,##0\);_(* &quot;-&quot;??_);_(@_)">
                  <c:v>1038.65907739</c:v>
                </c:pt>
                <c:pt idx="17" formatCode="_(* #,##0_);_(* \(#,##0\);_(* &quot;-&quot;??_);_(@_)">
                  <c:v>1271.5719099199998</c:v>
                </c:pt>
                <c:pt idx="18" formatCode="_(* #,##0_);_(* \(#,##0\);_(* &quot;-&quot;??_);_(@_)">
                  <c:v>1229.6116299800001</c:v>
                </c:pt>
              </c:numCache>
            </c:numRef>
          </c:val>
          <c:extLst>
            <c:ext xmlns:c16="http://schemas.microsoft.com/office/drawing/2014/chart" uri="{C3380CC4-5D6E-409C-BE32-E72D297353CC}">
              <c16:uniqueId val="{00000002-427C-4075-8A55-2A73F5F1F689}"/>
            </c:ext>
          </c:extLst>
        </c:ser>
        <c:dLbls>
          <c:showLegendKey val="0"/>
          <c:showVal val="0"/>
          <c:showCatName val="0"/>
          <c:showSerName val="0"/>
          <c:showPercent val="0"/>
          <c:showBubbleSize val="0"/>
        </c:dLbls>
        <c:gapWidth val="150"/>
        <c:axId val="174016384"/>
        <c:axId val="177033600"/>
      </c:barChart>
      <c:catAx>
        <c:axId val="174016384"/>
        <c:scaling>
          <c:orientation val="minMax"/>
        </c:scaling>
        <c:delete val="0"/>
        <c:axPos val="b"/>
        <c:title>
          <c:tx>
            <c:rich>
              <a:bodyPr/>
              <a:lstStyle/>
              <a:p>
                <a:pPr>
                  <a:defRPr/>
                </a:pPr>
                <a:r>
                  <a:rPr lang="en-US"/>
                  <a:t>Time</a:t>
                </a:r>
                <a:r>
                  <a:rPr lang="en-US" baseline="0"/>
                  <a:t> Frame - </a:t>
                </a:r>
                <a:r>
                  <a:rPr lang="en-US"/>
                  <a:t>Quarterly</a:t>
                </a:r>
              </a:p>
            </c:rich>
          </c:tx>
          <c:layout>
            <c:manualLayout>
              <c:xMode val="edge"/>
              <c:yMode val="edge"/>
              <c:x val="0.49296526048192896"/>
              <c:y val="0.93075933904489105"/>
            </c:manualLayout>
          </c:layout>
          <c:overlay val="0"/>
        </c:title>
        <c:numFmt formatCode="General" sourceLinked="1"/>
        <c:majorTickMark val="out"/>
        <c:minorTickMark val="none"/>
        <c:tickLblPos val="nextTo"/>
        <c:crossAx val="177033600"/>
        <c:crosses val="autoZero"/>
        <c:auto val="1"/>
        <c:lblAlgn val="ctr"/>
        <c:lblOffset val="100"/>
        <c:noMultiLvlLbl val="0"/>
      </c:catAx>
      <c:valAx>
        <c:axId val="177033600"/>
        <c:scaling>
          <c:orientation val="minMax"/>
        </c:scaling>
        <c:delete val="0"/>
        <c:axPos val="l"/>
        <c:majorGridlines/>
        <c:title>
          <c:tx>
            <c:rich>
              <a:bodyPr rot="-5400000" vert="horz"/>
              <a:lstStyle/>
              <a:p>
                <a:pPr>
                  <a:defRPr/>
                </a:pPr>
                <a:r>
                  <a:rPr lang="en-US"/>
                  <a:t>($)  000's</a:t>
                </a:r>
              </a:p>
            </c:rich>
          </c:tx>
          <c:overlay val="0"/>
        </c:title>
        <c:numFmt formatCode="_-* #,##0_-;\-* #,##0_-;_-* &quot;-&quot;??_-;_-@_-" sourceLinked="1"/>
        <c:majorTickMark val="out"/>
        <c:minorTickMark val="none"/>
        <c:tickLblPos val="nextTo"/>
        <c:crossAx val="174016384"/>
        <c:crosses val="autoZero"/>
        <c:crossBetween val="between"/>
      </c:valAx>
    </c:plotArea>
    <c:legend>
      <c:legendPos val="b"/>
      <c:overlay val="0"/>
    </c:legend>
    <c:plotVisOnly val="1"/>
    <c:dispBlanksAs val="gap"/>
    <c:showDLblsOverMax val="0"/>
  </c:chart>
  <c:printSettings>
    <c:headerFooter/>
    <c:pageMargins b="0.75000000000000588" l="0.70000000000000062" r="0.70000000000000062" t="0.750000000000005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'GAM Components Pie charts'!$J$37</c:f>
              <c:strCache>
                <c:ptCount val="1"/>
                <c:pt idx="0">
                  <c:v>2010</c:v>
                </c:pt>
              </c:strCache>
            </c:strRef>
          </c:tx>
          <c:dLbls>
            <c:dLbl>
              <c:idx val="0"/>
              <c:tx>
                <c:rich>
                  <a:bodyPr/>
                  <a:lstStyle/>
                  <a:p>
                    <a:r>
                      <a:rPr lang="en-US"/>
                      <a:t>OEFC
25%</a:t>
                    </a:r>
                  </a:p>
                </c:rich>
              </c:tx>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D07-4116-B890-0AA336817879}"/>
                </c:ext>
              </c:extLst>
            </c:dLbl>
            <c:dLbl>
              <c:idx val="1"/>
              <c:tx>
                <c:rich>
                  <a:bodyPr/>
                  <a:lstStyle/>
                  <a:p>
                    <a:r>
                      <a:rPr lang="en-US"/>
                      <a:t>OPG
23%</a:t>
                    </a:r>
                  </a:p>
                </c:rich>
              </c:tx>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D07-4116-B890-0AA336817879}"/>
                </c:ext>
              </c:extLst>
            </c:dLbl>
            <c:dLbl>
              <c:idx val="2"/>
              <c:tx>
                <c:rich>
                  <a:bodyPr/>
                  <a:lstStyle/>
                  <a:p>
                    <a:r>
                      <a:rPr lang="en-US"/>
                      <a:t>OPA 
52%</a:t>
                    </a:r>
                  </a:p>
                </c:rich>
              </c:tx>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D07-4116-B890-0AA336817879}"/>
                </c:ext>
              </c:extLst>
            </c:dLbl>
            <c:spPr>
              <a:noFill/>
              <a:ln>
                <a:noFill/>
              </a:ln>
              <a:effectLst/>
            </c:spPr>
            <c:dLblPos val="ctr"/>
            <c:showLegendKey val="0"/>
            <c:showVal val="0"/>
            <c:showCatName val="1"/>
            <c:showSerName val="0"/>
            <c:showPercent val="1"/>
            <c:showBubbleSize val="0"/>
            <c:showLeaderLines val="1"/>
            <c:extLst>
              <c:ext xmlns:c15="http://schemas.microsoft.com/office/drawing/2012/chart" uri="{CE6537A1-D6FC-4f65-9D91-7224C49458BB}"/>
            </c:extLst>
          </c:dLbls>
          <c:cat>
            <c:strRef>
              <c:f>'GAM Components Pie charts'!$K$36:$M$36</c:f>
              <c:strCache>
                <c:ptCount val="3"/>
                <c:pt idx="0">
                  <c:v>Ontario Electricity Financial Corporation - Non-Utility Generation</c:v>
                </c:pt>
                <c:pt idx="1">
                  <c:v>Ontario Power Generation - Generation</c:v>
                </c:pt>
                <c:pt idx="2">
                  <c:v>OPA Contracts</c:v>
                </c:pt>
              </c:strCache>
            </c:strRef>
          </c:cat>
          <c:val>
            <c:numRef>
              <c:f>'GAM Components Pie charts'!$K$37:$M$37</c:f>
              <c:numCache>
                <c:formatCode>_(* #,##0_);_(* \(#,##0\);_(* "-"??_);_(@_)</c:formatCode>
                <c:ptCount val="3"/>
                <c:pt idx="0">
                  <c:v>959.66952499999991</c:v>
                </c:pt>
                <c:pt idx="1">
                  <c:v>889.36076299000013</c:v>
                </c:pt>
                <c:pt idx="2">
                  <c:v>1999.5364997700053</c:v>
                </c:pt>
              </c:numCache>
            </c:numRef>
          </c:val>
          <c:extLst>
            <c:ext xmlns:c16="http://schemas.microsoft.com/office/drawing/2014/chart" uri="{C3380CC4-5D6E-409C-BE32-E72D297353CC}">
              <c16:uniqueId val="{00000003-BD07-4116-B890-0AA336817879}"/>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522" l="0.70000000000000062" r="0.70000000000000062" t="0.750000000000005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1"/>
          <c:order val="0"/>
          <c:tx>
            <c:strRef>
              <c:f>'GAM Components Pie charts'!$J$38</c:f>
              <c:strCache>
                <c:ptCount val="1"/>
                <c:pt idx="0">
                  <c:v>2011</c:v>
                </c:pt>
              </c:strCache>
            </c:strRef>
          </c:tx>
          <c:dLbls>
            <c:dLbl>
              <c:idx val="0"/>
              <c:tx>
                <c:rich>
                  <a:bodyPr/>
                  <a:lstStyle/>
                  <a:p>
                    <a:r>
                      <a:rPr lang="en-US"/>
                      <a:t>OEFC</a:t>
                    </a:r>
                  </a:p>
                  <a:p>
                    <a:r>
                      <a:rPr lang="en-US"/>
                      <a:t>21%</a:t>
                    </a:r>
                  </a:p>
                </c:rich>
              </c:tx>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376-4495-B60E-3F85EB0FBE02}"/>
                </c:ext>
              </c:extLst>
            </c:dLbl>
            <c:dLbl>
              <c:idx val="1"/>
              <c:tx>
                <c:rich>
                  <a:bodyPr/>
                  <a:lstStyle/>
                  <a:p>
                    <a:r>
                      <a:rPr lang="en-US"/>
                      <a:t>OPG
25%</a:t>
                    </a:r>
                  </a:p>
                </c:rich>
              </c:tx>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376-4495-B60E-3F85EB0FBE02}"/>
                </c:ext>
              </c:extLst>
            </c:dLbl>
            <c:dLbl>
              <c:idx val="2"/>
              <c:tx>
                <c:rich>
                  <a:bodyPr/>
                  <a:lstStyle/>
                  <a:p>
                    <a:r>
                      <a:rPr lang="en-US"/>
                      <a:t>OPA 
54%</a:t>
                    </a:r>
                  </a:p>
                </c:rich>
              </c:tx>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376-4495-B60E-3F85EB0FBE02}"/>
                </c:ext>
              </c:extLst>
            </c:dLbl>
            <c:spPr>
              <a:noFill/>
              <a:ln>
                <a:noFill/>
              </a:ln>
              <a:effectLst/>
            </c:spPr>
            <c:dLblPos val="ctr"/>
            <c:showLegendKey val="0"/>
            <c:showVal val="0"/>
            <c:showCatName val="1"/>
            <c:showSerName val="0"/>
            <c:showPercent val="1"/>
            <c:showBubbleSize val="0"/>
            <c:showLeaderLines val="1"/>
            <c:extLst>
              <c:ext xmlns:c15="http://schemas.microsoft.com/office/drawing/2012/chart" uri="{CE6537A1-D6FC-4f65-9D91-7224C49458BB}"/>
            </c:extLst>
          </c:dLbls>
          <c:cat>
            <c:strRef>
              <c:f>'GAM Components Pie charts'!$K$36:$M$36</c:f>
              <c:strCache>
                <c:ptCount val="3"/>
                <c:pt idx="0">
                  <c:v>Ontario Electricity Financial Corporation - Non-Utility Generation</c:v>
                </c:pt>
                <c:pt idx="1">
                  <c:v>Ontario Power Generation - Generation</c:v>
                </c:pt>
                <c:pt idx="2">
                  <c:v>OPA Contracts</c:v>
                </c:pt>
              </c:strCache>
            </c:strRef>
          </c:cat>
          <c:val>
            <c:numRef>
              <c:f>'GAM Components Pie charts'!$K$38:$M$38</c:f>
              <c:numCache>
                <c:formatCode>_(* #,##0_);_(* \(#,##0\);_(* "-"??_);_(@_)</c:formatCode>
                <c:ptCount val="3"/>
                <c:pt idx="0">
                  <c:v>1082.9636090000001</c:v>
                </c:pt>
                <c:pt idx="1">
                  <c:v>1346.7430342800001</c:v>
                </c:pt>
                <c:pt idx="2">
                  <c:v>2880.0055083299999</c:v>
                </c:pt>
              </c:numCache>
            </c:numRef>
          </c:val>
          <c:extLst>
            <c:ext xmlns:c16="http://schemas.microsoft.com/office/drawing/2014/chart" uri="{C3380CC4-5D6E-409C-BE32-E72D297353CC}">
              <c16:uniqueId val="{00000003-7376-4495-B60E-3F85EB0FBE02}"/>
            </c:ext>
          </c:extLst>
        </c:ser>
        <c:dLbls>
          <c:showLegendKey val="0"/>
          <c:showVal val="1"/>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544" l="0.70000000000000062" r="0.70000000000000062" t="0.750000000000005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2"/>
          <c:order val="0"/>
          <c:tx>
            <c:strRef>
              <c:f>'GAM Components Pie charts'!$J$39</c:f>
              <c:strCache>
                <c:ptCount val="1"/>
                <c:pt idx="0">
                  <c:v>2012</c:v>
                </c:pt>
              </c:strCache>
            </c:strRef>
          </c:tx>
          <c:dLbls>
            <c:dLbl>
              <c:idx val="0"/>
              <c:tx>
                <c:rich>
                  <a:bodyPr/>
                  <a:lstStyle/>
                  <a:p>
                    <a:r>
                      <a:rPr lang="en-US"/>
                      <a:t>OEFC
17%</a:t>
                    </a:r>
                  </a:p>
                </c:rich>
              </c:tx>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643-4BA7-AF0A-888FF9A0600A}"/>
                </c:ext>
              </c:extLst>
            </c:dLbl>
            <c:dLbl>
              <c:idx val="1"/>
              <c:tx>
                <c:rich>
                  <a:bodyPr/>
                  <a:lstStyle/>
                  <a:p>
                    <a:r>
                      <a:rPr lang="en-US"/>
                      <a:t>OPG
29%</a:t>
                    </a:r>
                  </a:p>
                </c:rich>
              </c:tx>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643-4BA7-AF0A-888FF9A0600A}"/>
                </c:ext>
              </c:extLst>
            </c:dLbl>
            <c:dLbl>
              <c:idx val="2"/>
              <c:tx>
                <c:rich>
                  <a:bodyPr/>
                  <a:lstStyle/>
                  <a:p>
                    <a:r>
                      <a:rPr lang="en-US"/>
                      <a:t>OPA 
54%</a:t>
                    </a:r>
                  </a:p>
                </c:rich>
              </c:tx>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643-4BA7-AF0A-888FF9A0600A}"/>
                </c:ext>
              </c:extLst>
            </c:dLbl>
            <c:spPr>
              <a:noFill/>
              <a:ln>
                <a:noFill/>
              </a:ln>
              <a:effectLst/>
            </c:spPr>
            <c:dLblPos val="ctr"/>
            <c:showLegendKey val="0"/>
            <c:showVal val="0"/>
            <c:showCatName val="1"/>
            <c:showSerName val="0"/>
            <c:showPercent val="1"/>
            <c:showBubbleSize val="0"/>
            <c:showLeaderLines val="1"/>
            <c:extLst>
              <c:ext xmlns:c15="http://schemas.microsoft.com/office/drawing/2012/chart" uri="{CE6537A1-D6FC-4f65-9D91-7224C49458BB}"/>
            </c:extLst>
          </c:dLbls>
          <c:cat>
            <c:strRef>
              <c:f>'GAM Components Pie charts'!$K$36:$M$36</c:f>
              <c:strCache>
                <c:ptCount val="3"/>
                <c:pt idx="0">
                  <c:v>Ontario Electricity Financial Corporation - Non-Utility Generation</c:v>
                </c:pt>
                <c:pt idx="1">
                  <c:v>Ontario Power Generation - Generation</c:v>
                </c:pt>
                <c:pt idx="2">
                  <c:v>OPA Contracts</c:v>
                </c:pt>
              </c:strCache>
            </c:strRef>
          </c:cat>
          <c:val>
            <c:numRef>
              <c:f>'GAM Components Pie charts'!$K$39:$M$39</c:f>
              <c:numCache>
                <c:formatCode>_(* #,##0_);_(* \(#,##0\);_(* "-"??_);_(@_)</c:formatCode>
                <c:ptCount val="3"/>
                <c:pt idx="0">
                  <c:v>1090.98173</c:v>
                </c:pt>
                <c:pt idx="1">
                  <c:v>1848.36488134</c:v>
                </c:pt>
                <c:pt idx="2">
                  <c:v>3516.4600839599998</c:v>
                </c:pt>
              </c:numCache>
            </c:numRef>
          </c:val>
          <c:extLst>
            <c:ext xmlns:c16="http://schemas.microsoft.com/office/drawing/2014/chart" uri="{C3380CC4-5D6E-409C-BE32-E72D297353CC}">
              <c16:uniqueId val="{00000003-4643-4BA7-AF0A-888FF9A0600A}"/>
            </c:ext>
          </c:extLst>
        </c:ser>
        <c:dLbls>
          <c:showLegendKey val="0"/>
          <c:showVal val="1"/>
          <c:showCatName val="0"/>
          <c:showSerName val="0"/>
          <c:showPercent val="0"/>
          <c:showBubbleSize val="0"/>
          <c:showLeaderLines val="1"/>
        </c:dLbls>
        <c:firstSliceAng val="0"/>
      </c:pieChart>
    </c:plotArea>
    <c:plotVisOnly val="1"/>
    <c:dispBlanksAs val="zero"/>
    <c:showDLblsOverMax val="0"/>
  </c:chart>
  <c:spPr>
    <a:noFill/>
    <a:ln>
      <a:noFill/>
    </a:ln>
  </c:spPr>
  <c:printSettings>
    <c:headerFooter/>
    <c:pageMargins b="0.75000000000000544" l="0.70000000000000062" r="0.70000000000000062" t="0.750000000000005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3"/>
          <c:order val="0"/>
          <c:tx>
            <c:strRef>
              <c:f>'GAM Components Pie charts'!$J$40</c:f>
              <c:strCache>
                <c:ptCount val="1"/>
                <c:pt idx="0">
                  <c:v>2013</c:v>
                </c:pt>
              </c:strCache>
            </c:strRef>
          </c:tx>
          <c:dLbls>
            <c:dLbl>
              <c:idx val="0"/>
              <c:tx>
                <c:rich>
                  <a:bodyPr/>
                  <a:lstStyle/>
                  <a:p>
                    <a:r>
                      <a:rPr lang="en-US"/>
                      <a:t>OEFC
14%</a:t>
                    </a:r>
                  </a:p>
                </c:rich>
              </c:tx>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1B0-4727-84F5-092D2BD5C51A}"/>
                </c:ext>
              </c:extLst>
            </c:dLbl>
            <c:dLbl>
              <c:idx val="1"/>
              <c:tx>
                <c:rich>
                  <a:bodyPr/>
                  <a:lstStyle/>
                  <a:p>
                    <a:r>
                      <a:rPr lang="en-US"/>
                      <a:t>OPG
23%</a:t>
                    </a:r>
                  </a:p>
                </c:rich>
              </c:tx>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1B0-4727-84F5-092D2BD5C51A}"/>
                </c:ext>
              </c:extLst>
            </c:dLbl>
            <c:dLbl>
              <c:idx val="2"/>
              <c:tx>
                <c:rich>
                  <a:bodyPr/>
                  <a:lstStyle/>
                  <a:p>
                    <a:r>
                      <a:rPr lang="en-US"/>
                      <a:t>OPA 
63%</a:t>
                    </a:r>
                  </a:p>
                </c:rich>
              </c:tx>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1B0-4727-84F5-092D2BD5C51A}"/>
                </c:ext>
              </c:extLst>
            </c:dLbl>
            <c:spPr>
              <a:noFill/>
              <a:ln>
                <a:noFill/>
              </a:ln>
              <a:effectLst/>
            </c:spPr>
            <c:dLblPos val="ctr"/>
            <c:showLegendKey val="0"/>
            <c:showVal val="0"/>
            <c:showCatName val="1"/>
            <c:showSerName val="0"/>
            <c:showPercent val="1"/>
            <c:showBubbleSize val="0"/>
            <c:showLeaderLines val="1"/>
            <c:extLst>
              <c:ext xmlns:c15="http://schemas.microsoft.com/office/drawing/2012/chart" uri="{CE6537A1-D6FC-4f65-9D91-7224C49458BB}"/>
            </c:extLst>
          </c:dLbls>
          <c:cat>
            <c:strRef>
              <c:f>'GAM Components Pie charts'!$K$36:$M$36</c:f>
              <c:strCache>
                <c:ptCount val="3"/>
                <c:pt idx="0">
                  <c:v>Ontario Electricity Financial Corporation - Non-Utility Generation</c:v>
                </c:pt>
                <c:pt idx="1">
                  <c:v>Ontario Power Generation - Generation</c:v>
                </c:pt>
                <c:pt idx="2">
                  <c:v>OPA Contracts</c:v>
                </c:pt>
              </c:strCache>
            </c:strRef>
          </c:cat>
          <c:val>
            <c:numRef>
              <c:f>'GAM Components Pie charts'!$K$40:$M$40</c:f>
              <c:numCache>
                <c:formatCode>_(* #,##0_);_(* \(#,##0\);_(* "-"??_);_(@_)</c:formatCode>
                <c:ptCount val="3"/>
                <c:pt idx="0">
                  <c:v>1132.6152849999999</c:v>
                </c:pt>
                <c:pt idx="1">
                  <c:v>1752.9513387700001</c:v>
                </c:pt>
                <c:pt idx="2">
                  <c:v>4841.7812308599996</c:v>
                </c:pt>
              </c:numCache>
            </c:numRef>
          </c:val>
          <c:extLst>
            <c:ext xmlns:c16="http://schemas.microsoft.com/office/drawing/2014/chart" uri="{C3380CC4-5D6E-409C-BE32-E72D297353CC}">
              <c16:uniqueId val="{00000003-91B0-4727-84F5-092D2BD5C51A}"/>
            </c:ext>
          </c:extLst>
        </c:ser>
        <c:dLbls>
          <c:showLegendKey val="0"/>
          <c:showVal val="1"/>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544" l="0.70000000000000062" r="0.70000000000000062" t="0.750000000000005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OPA GAM by Fuel Type for 2013 (in millions)</a:t>
            </a:r>
          </a:p>
        </c:rich>
      </c:tx>
      <c:overlay val="1"/>
    </c:title>
    <c:autoTitleDeleted val="0"/>
    <c:plotArea>
      <c:layout>
        <c:manualLayout>
          <c:layoutTarget val="inner"/>
          <c:xMode val="edge"/>
          <c:yMode val="edge"/>
          <c:x val="0.1024511948810496"/>
          <c:y val="0.17005201622524457"/>
          <c:w val="0.73368284150140661"/>
          <c:h val="0.79149769915124246"/>
        </c:manualLayout>
      </c:layout>
      <c:pieChart>
        <c:varyColors val="1"/>
        <c:ser>
          <c:idx val="0"/>
          <c:order val="0"/>
          <c:tx>
            <c:strRef>
              <c:f>'OPA Components Pie chart'!$N$19</c:f>
              <c:strCache>
                <c:ptCount val="1"/>
                <c:pt idx="0">
                  <c:v>2013</c:v>
                </c:pt>
              </c:strCache>
            </c:strRef>
          </c:tx>
          <c:dLbls>
            <c:spPr>
              <a:noFill/>
              <a:ln>
                <a:noFill/>
              </a:ln>
              <a:effectLst/>
            </c:spPr>
            <c:dLblPos val="bestFit"/>
            <c:showLegendKey val="0"/>
            <c:showVal val="1"/>
            <c:showCatName val="0"/>
            <c:showSerName val="0"/>
            <c:showPercent val="1"/>
            <c:showBubbleSize val="0"/>
            <c:showLeaderLines val="1"/>
            <c:extLst>
              <c:ext xmlns:c15="http://schemas.microsoft.com/office/drawing/2012/chart" uri="{CE6537A1-D6FC-4f65-9D91-7224C49458BB}"/>
            </c:extLst>
          </c:dLbls>
          <c:cat>
            <c:strRef>
              <c:f>'OPA Components Pie chart'!$A$20:$A$27</c:f>
              <c:strCache>
                <c:ptCount val="8"/>
                <c:pt idx="0">
                  <c:v>Biomass/landfill</c:v>
                </c:pt>
                <c:pt idx="1">
                  <c:v>Conservation</c:v>
                </c:pt>
                <c:pt idx="2">
                  <c:v>Hydro</c:v>
                </c:pt>
                <c:pt idx="3">
                  <c:v>Natural gas</c:v>
                </c:pt>
                <c:pt idx="4">
                  <c:v>Nuclear</c:v>
                </c:pt>
                <c:pt idx="5">
                  <c:v>Others</c:v>
                </c:pt>
                <c:pt idx="6">
                  <c:v>Renewables</c:v>
                </c:pt>
                <c:pt idx="7">
                  <c:v>By-products</c:v>
                </c:pt>
              </c:strCache>
            </c:strRef>
          </c:cat>
          <c:val>
            <c:numRef>
              <c:f>'OPA Components Pie chart'!$N$20:$N$27</c:f>
              <c:numCache>
                <c:formatCode>_(* #,##0_);_(* \(#,##0\);_(* "-"??_);_(@_)</c:formatCode>
                <c:ptCount val="8"/>
                <c:pt idx="0">
                  <c:v>3.5148696146128655</c:v>
                </c:pt>
                <c:pt idx="1">
                  <c:v>278.11261891000009</c:v>
                </c:pt>
                <c:pt idx="2">
                  <c:v>263.57898736780402</c:v>
                </c:pt>
                <c:pt idx="3">
                  <c:v>1186.1063117090946</c:v>
                </c:pt>
                <c:pt idx="4">
                  <c:v>1950.3708397684402</c:v>
                </c:pt>
                <c:pt idx="5">
                  <c:v>-10.990979239999998</c:v>
                </c:pt>
                <c:pt idx="6">
                  <c:v>461.92304341351155</c:v>
                </c:pt>
                <c:pt idx="7">
                  <c:v>33.753178466826199</c:v>
                </c:pt>
              </c:numCache>
            </c:numRef>
          </c:val>
          <c:extLst>
            <c:ext xmlns:c16="http://schemas.microsoft.com/office/drawing/2014/chart" uri="{C3380CC4-5D6E-409C-BE32-E72D297353CC}">
              <c16:uniqueId val="{00000000-27E0-4154-A8A9-516CAF088823}"/>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en-US"/>
        </a:p>
      </c:txPr>
    </c:legend>
    <c:plotVisOnly val="1"/>
    <c:dispBlanksAs val="zero"/>
    <c:showDLblsOverMax val="0"/>
  </c:chart>
  <c:printSettings>
    <c:headerFooter/>
    <c:pageMargins b="0.75000000000000622" l="0.70000000000000062" r="0.70000000000000062" t="0.750000000000006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2871106</xdr:colOff>
      <xdr:row>29</xdr:row>
      <xdr:rowOff>13607</xdr:rowOff>
    </xdr:from>
    <xdr:to>
      <xdr:col>72</xdr:col>
      <xdr:colOff>2720</xdr:colOff>
      <xdr:row>67</xdr:row>
      <xdr:rowOff>54428</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125</xdr:col>
      <xdr:colOff>170709</xdr:colOff>
      <xdr:row>37</xdr:row>
      <xdr:rowOff>59375</xdr:rowOff>
    </xdr:from>
    <xdr:to>
      <xdr:col>125</xdr:col>
      <xdr:colOff>842406</xdr:colOff>
      <xdr:row>44</xdr:row>
      <xdr:rowOff>24739</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639675" y="6183950"/>
          <a:ext cx="0" cy="1098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vert="vert" wrap="square" rtlCol="0" anchor="ctr"/>
        <a:lstStyle/>
        <a:p>
          <a:pPr algn="l"/>
          <a:r>
            <a:rPr lang="en-US" sz="800" b="1" baseline="0">
              <a:latin typeface="Arial" pitchFamily="34" charset="0"/>
              <a:cs typeface="Arial" pitchFamily="34" charset="0"/>
            </a:rPr>
            <a:t>            $/MWh</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0.48822</cdr:x>
      <cdr:y>0.55724</cdr:y>
    </cdr:from>
    <cdr:to>
      <cdr:x>0.53265</cdr:x>
      <cdr:y>0.61033</cdr:y>
    </cdr:to>
    <cdr:sp macro="" textlink="">
      <cdr:nvSpPr>
        <cdr:cNvPr id="97281" name="Text Box 1"/>
        <cdr:cNvSpPr txBox="1">
          <a:spLocks xmlns:a="http://schemas.openxmlformats.org/drawingml/2006/main" noChangeArrowheads="1"/>
        </cdr:cNvSpPr>
      </cdr:nvSpPr>
      <cdr:spPr bwMode="auto">
        <a:xfrm xmlns:a="http://schemas.openxmlformats.org/drawingml/2006/main">
          <a:off x="2551532" y="2471160"/>
          <a:ext cx="230600" cy="23454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666749</xdr:colOff>
      <xdr:row>30</xdr:row>
      <xdr:rowOff>9524</xdr:rowOff>
    </xdr:from>
    <xdr:to>
      <xdr:col>11</xdr:col>
      <xdr:colOff>457200</xdr:colOff>
      <xdr:row>55</xdr:row>
      <xdr:rowOff>152400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142875</xdr:colOff>
      <xdr:row>11</xdr:row>
      <xdr:rowOff>47625</xdr:rowOff>
    </xdr:from>
    <xdr:to>
      <xdr:col>17</xdr:col>
      <xdr:colOff>542925</xdr:colOff>
      <xdr:row>43</xdr:row>
      <xdr:rowOff>9525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6</xdr:row>
      <xdr:rowOff>123825</xdr:rowOff>
    </xdr:from>
    <xdr:to>
      <xdr:col>16</xdr:col>
      <xdr:colOff>323850</xdr:colOff>
      <xdr:row>39</xdr:row>
      <xdr:rowOff>114300</xdr:rowOff>
    </xdr:to>
    <xdr:pic>
      <xdr:nvPicPr>
        <xdr:cNvPr id="2" name="Picture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476375"/>
          <a:ext cx="10353675" cy="65151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126</xdr:col>
      <xdr:colOff>170709</xdr:colOff>
      <xdr:row>37</xdr:row>
      <xdr:rowOff>59375</xdr:rowOff>
    </xdr:from>
    <xdr:to>
      <xdr:col>126</xdr:col>
      <xdr:colOff>842406</xdr:colOff>
      <xdr:row>44</xdr:row>
      <xdr:rowOff>24739</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2639675" y="6183950"/>
          <a:ext cx="0" cy="1098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vert="vert" wrap="square" rtlCol="0" anchor="ctr"/>
        <a:lstStyle/>
        <a:p>
          <a:pPr algn="l"/>
          <a:r>
            <a:rPr lang="en-US" sz="800" b="1" baseline="0">
              <a:latin typeface="Arial" pitchFamily="34" charset="0"/>
              <a:cs typeface="Arial" pitchFamily="34" charset="0"/>
            </a:rPr>
            <a:t>            $/MWh</a:t>
          </a:r>
        </a:p>
      </xdr:txBody>
    </xdr:sp>
    <xdr:clientData/>
  </xdr:twoCellAnchor>
  <xdr:twoCellAnchor>
    <xdr:from>
      <xdr:col>0</xdr:col>
      <xdr:colOff>0</xdr:colOff>
      <xdr:row>48</xdr:row>
      <xdr:rowOff>9525</xdr:rowOff>
    </xdr:from>
    <xdr:to>
      <xdr:col>2</xdr:col>
      <xdr:colOff>200025</xdr:colOff>
      <xdr:row>65</xdr:row>
      <xdr:rowOff>0</xdr:rowOff>
    </xdr:to>
    <xdr:graphicFrame macro="">
      <xdr:nvGraphicFramePr>
        <xdr:cNvPr id="6" name="Chart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48</xdr:row>
      <xdr:rowOff>57150</xdr:rowOff>
    </xdr:from>
    <xdr:to>
      <xdr:col>10</xdr:col>
      <xdr:colOff>266700</xdr:colOff>
      <xdr:row>65</xdr:row>
      <xdr:rowOff>47625</xdr:rowOff>
    </xdr:to>
    <xdr:graphicFrame macro="">
      <xdr:nvGraphicFramePr>
        <xdr:cNvPr id="7" name="Chart 6">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66</xdr:row>
      <xdr:rowOff>152400</xdr:rowOff>
    </xdr:from>
    <xdr:to>
      <xdr:col>2</xdr:col>
      <xdr:colOff>209550</xdr:colOff>
      <xdr:row>83</xdr:row>
      <xdr:rowOff>142875</xdr:rowOff>
    </xdr:to>
    <xdr:graphicFrame macro="">
      <xdr:nvGraphicFramePr>
        <xdr:cNvPr id="8" name="Chart 7">
          <a:extLst>
            <a:ext uri="{FF2B5EF4-FFF2-40B4-BE49-F238E27FC236}">
              <a16:creationId xmlns:a16="http://schemas.microsoft.com/office/drawing/2014/main" id="{00000000-0008-0000-04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67</xdr:row>
      <xdr:rowOff>0</xdr:rowOff>
    </xdr:from>
    <xdr:to>
      <xdr:col>10</xdr:col>
      <xdr:colOff>266700</xdr:colOff>
      <xdr:row>83</xdr:row>
      <xdr:rowOff>152400</xdr:rowOff>
    </xdr:to>
    <xdr:graphicFrame macro="">
      <xdr:nvGraphicFramePr>
        <xdr:cNvPr id="9" name="Chart 8">
          <a:extLst>
            <a:ext uri="{FF2B5EF4-FFF2-40B4-BE49-F238E27FC236}">
              <a16:creationId xmlns:a16="http://schemas.microsoft.com/office/drawing/2014/main" id="{00000000-0008-0000-04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666749</xdr:colOff>
      <xdr:row>30</xdr:row>
      <xdr:rowOff>9524</xdr:rowOff>
    </xdr:from>
    <xdr:to>
      <xdr:col>11</xdr:col>
      <xdr:colOff>457200</xdr:colOff>
      <xdr:row>55</xdr:row>
      <xdr:rowOff>152400</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Z:\C:\Users\Mathu.Balachandran\AppData\Local\Microsoft\Windows\Temporary%20Internet%20Files\Content.Outlook\1JBRMDAG\Global%20Adjustment%20Summary%20Report%20-%2011%20-%20Nov%202013.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u.ghuman" refreshedDate="41625.601908564815" createdVersion="3" refreshedVersion="3" minRefreshableVersion="3" recordCount="63">
  <cacheSource type="worksheet">
    <worksheetSource ref="B3:M66" sheet="GA Data for Chart" r:id="rId2"/>
  </cacheSource>
  <cacheFields count="12">
    <cacheField name="FUEL" numFmtId="171">
      <sharedItems count="12">
        <s v="Nuclear"/>
        <s v="Natural gas"/>
        <s v="Hydro"/>
        <s v="Wind"/>
        <s v="Biomass/landfill"/>
        <s v="By-products"/>
        <s v="FIT Other"/>
        <s v="Conservation"/>
        <s v="Others"/>
        <s v="Gas Plants" u="1"/>
        <s v="Various" u="1"/>
        <s v="By-product" u="1"/>
      </sharedItems>
    </cacheField>
    <cacheField name="Jan-13" numFmtId="171">
      <sharedItems containsString="0" containsBlank="1" containsNumber="1" minValue="0" maxValue="90580266.062026203"/>
    </cacheField>
    <cacheField name="Feb-13" numFmtId="171">
      <sharedItems containsString="0" containsBlank="1" containsNumber="1" minValue="-2655516.2000000002" maxValue="58506558.339999996"/>
    </cacheField>
    <cacheField name="Mar-13" numFmtId="171">
      <sharedItems containsString="0" containsBlank="1" containsNumber="1" minValue="-715362.06" maxValue="61880315.127973795"/>
    </cacheField>
    <cacheField name="Apr-13" numFmtId="171">
      <sharedItems containsString="0" containsBlank="1" containsNumber="1" minValue="-1341640.56" maxValue="85111879.600000009"/>
    </cacheField>
    <cacheField name="May-13" numFmtId="171">
      <sharedItems containsSemiMixedTypes="0" containsString="0" containsNumber="1" minValue="-1760028" maxValue="75881625.689999983"/>
    </cacheField>
    <cacheField name="Jun-13" numFmtId="171">
      <sharedItems containsSemiMixedTypes="0" containsString="0" containsNumber="1" minValue="0" maxValue="102109303.51999997"/>
    </cacheField>
    <cacheField name="Jul-13" numFmtId="171">
      <sharedItems containsSemiMixedTypes="0" containsString="0" containsNumber="1" minValue="-11448555.449999999" maxValue="121034631.65000002"/>
    </cacheField>
    <cacheField name="Aug-13" numFmtId="171">
      <sharedItems containsSemiMixedTypes="0" containsString="0" containsNumber="1" minValue="-495752.67999999877" maxValue="87687334.270000011"/>
    </cacheField>
    <cacheField name="Sep-13" numFmtId="171">
      <sharedItems containsSemiMixedTypes="0" containsString="0" containsNumber="1" minValue="-1947189" maxValue="112670733.73000003"/>
    </cacheField>
    <cacheField name="Oct-13" numFmtId="171">
      <sharedItems containsSemiMixedTypes="0" containsString="0" containsNumber="1" minValue="-338800" maxValue="69864757.719999999"/>
    </cacheField>
    <cacheField name="Nov-13" numFmtId="171">
      <sharedItems containsSemiMixedTypes="0" containsString="0" containsNumber="1" minValue="-575605.14" maxValue="151113188.1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3">
  <r>
    <x v="0"/>
    <n v="90580266.062026203"/>
    <n v="58506558.339999996"/>
    <n v="61880315.127973795"/>
    <n v="85111879.600000009"/>
    <n v="75881625.689999983"/>
    <n v="102109303.51999997"/>
    <n v="121034631.65000002"/>
    <n v="87687334.270000011"/>
    <n v="112670733.73000003"/>
    <n v="69864757.719999999"/>
    <n v="151113188.12"/>
  </r>
  <r>
    <x v="0"/>
    <n v="81324040.311000049"/>
    <n v="43718126.89999979"/>
    <n v="40650066.040000021"/>
    <n v="46229239.610000119"/>
    <n v="49841849.789999917"/>
    <n v="61124839.850000255"/>
    <n v="54824378.149999849"/>
    <n v="73644086.389999866"/>
    <n v="72092522.224000201"/>
    <n v="53095842.449999951"/>
    <n v="103136033.05172014"/>
  </r>
  <r>
    <x v="1"/>
    <n v="699235.70000000007"/>
    <n v="624350.70000000007"/>
    <n v="594812.80000000005"/>
    <n v="566673.71"/>
    <n v="595231.71"/>
    <n v="527023.80000000005"/>
    <n v="490564.85"/>
    <n v="596288.34"/>
    <n v="383926.99"/>
    <n v="628764.68999999994"/>
    <n v="571040.83000000007"/>
  </r>
  <r>
    <x v="1"/>
    <n v="3949084.8"/>
    <n v="6081317.4500000002"/>
    <n v="5932685.1399999997"/>
    <n v="5863746.4400000004"/>
    <n v="5932685.1399999997"/>
    <n v="5932685.1399999997"/>
    <n v="5159449.67"/>
    <n v="5913635.29"/>
    <n v="4964183.8"/>
    <n v="5932685.1399999997"/>
    <n v="5810111.2999999998"/>
  </r>
  <r>
    <x v="1"/>
    <n v="39975.96"/>
    <n v="74454.759999999995"/>
    <n v="79961.05"/>
    <n v="80650.650000000009"/>
    <n v="87716.26999999999"/>
    <n v="85321.49"/>
    <n v="72643.91"/>
    <n v="92436.58"/>
    <n v="76236.51999999999"/>
    <n v="86166.69"/>
    <n v="88444.05"/>
  </r>
  <r>
    <x v="1"/>
    <n v="53101.34"/>
    <n v="77487.51999999999"/>
    <n v="80920.28"/>
    <n v="80240.759999999995"/>
    <n v="80821.490000000005"/>
    <n v="81008"/>
    <n v="74056.03"/>
    <n v="81008"/>
    <n v="71796.009999999995"/>
    <n v="80990.23"/>
    <n v="79650.759999999995"/>
  </r>
  <r>
    <x v="1"/>
    <n v="71048.62"/>
    <n v="103799.55"/>
    <n v="109371.36"/>
    <n v="106494.44"/>
    <n v="108069.48"/>
    <n v="108550.72"/>
    <n v="97306.28"/>
    <n v="108437.99"/>
    <n v="95701.999999999985"/>
    <n v="108243.28"/>
    <n v="106710.53"/>
  </r>
  <r>
    <x v="1"/>
    <n v="6544016.3176785167"/>
    <n v="6044149.2648480786"/>
    <n v="7487825.7999999998"/>
    <n v="7399875.709999999"/>
    <n v="8129107.5600000005"/>
    <n v="7469362.2299999995"/>
    <n v="5958239.9299999997"/>
    <n v="8267906.0300000003"/>
    <n v="6964774.0199999996"/>
    <n v="7468910.7000000002"/>
    <n v="6286207.7999999998"/>
  </r>
  <r>
    <x v="1"/>
    <n v="7699572.4699999988"/>
    <n v="9882567.6999999993"/>
    <n v="9785085.4199999999"/>
    <n v="9619357.8800000008"/>
    <n v="9704801.1400000006"/>
    <n v="9747130.2100000009"/>
    <n v="8712803.4900000002"/>
    <n v="9725209.0700000003"/>
    <n v="8677351.8699999992"/>
    <n v="10288306.9"/>
    <n v="9654913.7599999998"/>
  </r>
  <r>
    <x v="1"/>
    <n v="66859.720000000016"/>
    <n v="77866.47"/>
    <n v="77158.45"/>
    <n v="88803.180000000008"/>
    <n v="89996.58"/>
    <n v="89311.1"/>
    <n v="87636.61"/>
    <n v="91374.46"/>
    <n v="86778.22"/>
    <n v="87461.6"/>
    <n v="89449.18"/>
  </r>
  <r>
    <x v="1"/>
    <n v="70519.16"/>
    <n v="95378.409999999989"/>
    <n v="94780.26"/>
    <n v="94819.06"/>
    <n v="96383.41"/>
    <n v="96982.33"/>
    <n v="87361.81"/>
    <n v="96782.31"/>
    <n v="86994.559999999998"/>
    <n v="96460.46"/>
    <n v="93631.459999999992"/>
  </r>
  <r>
    <x v="1"/>
    <n v="9382330.1300000008"/>
    <n v="13261843.349999998"/>
    <n v="13153498.640000001"/>
    <n v="12913958.34"/>
    <n v="13138022.43"/>
    <n v="13209960.390000001"/>
    <n v="11589824.01"/>
    <n v="13364802.01"/>
    <n v="11544633.870000001"/>
    <n v="13169132.390000001"/>
    <n v="12957227.800000001"/>
  </r>
  <r>
    <x v="1"/>
    <n v="3128291.25"/>
    <n v="7890875.7599999998"/>
    <n v="8636018.4286313727"/>
    <n v="7998804.0800000001"/>
    <n v="8201434.9800000004"/>
    <n v="8581567.1099999994"/>
    <n v="6299770.5899999989"/>
    <n v="8599906.3100000005"/>
    <n v="6486723.8700000001"/>
    <n v="8632313.9399999995"/>
    <n v="8110258.3200000003"/>
  </r>
  <r>
    <x v="1"/>
    <n v="280228.53999999998"/>
    <n v="344134.61000000004"/>
    <n v="344277.44"/>
    <n v="340942.56999999995"/>
    <n v="341668.51"/>
    <n v="345854.28"/>
    <n v="332660.87999999995"/>
    <n v="346370.55"/>
    <n v="329758.65000000002"/>
    <n v="345307.17"/>
    <n v="340821"/>
  </r>
  <r>
    <x v="1"/>
    <n v="203620.14"/>
    <n v="252486.38"/>
    <n v="263734.15000000002"/>
    <n v="235665.57999999996"/>
    <n v="237439.47"/>
    <n v="234536.83"/>
    <n v="185594.81000000003"/>
    <n v="199737.05"/>
    <n v="187680.63"/>
    <n v="240532.43"/>
    <n v="234921.49"/>
  </r>
  <r>
    <x v="1"/>
    <n v="6368280.6600000001"/>
    <n v="5098847.17"/>
    <n v="4733489.74"/>
    <n v="5216011.97"/>
    <n v="4989171.5199999996"/>
    <n v="4975402.4800000004"/>
    <n v="3843335.9200000004"/>
    <n v="4954713.93"/>
    <n v="3848733.4800000004"/>
    <n v="4925005.2"/>
    <n v="4846485.26"/>
  </r>
  <r>
    <x v="1"/>
    <n v="1969621.44"/>
    <n v="2308143.25"/>
    <n v="2289112.2200000002"/>
    <n v="2278250.27"/>
    <n v="2290290.2999999998"/>
    <n v="2291305"/>
    <n v="2155862.4900000002"/>
    <n v="2287871.7400000002"/>
    <n v="2138459.8999999994"/>
    <n v="2290402.34"/>
    <n v="2270873.35"/>
  </r>
  <r>
    <x v="1"/>
    <n v="4531829.47"/>
    <n v="5727600.9800000004"/>
    <n v="5829586.9999999991"/>
    <n v="5863860.1300000008"/>
    <n v="5934471.54"/>
    <n v="6035408.9199999999"/>
    <n v="5570117.4000000004"/>
    <n v="6028476.6999999993"/>
    <n v="5549851.1000000006"/>
    <n v="5918449.0700000003"/>
    <n v="5895106.1200000001"/>
  </r>
  <r>
    <x v="1"/>
    <n v="4713806.8499999996"/>
    <n v="7688979.0499999998"/>
    <n v="7562080.3300000001"/>
    <n v="7354378.8200000003"/>
    <n v="7633432.5099999998"/>
    <n v="7650765.5499999998"/>
    <n v="6384719.21"/>
    <n v="7600945.7399999993"/>
    <n v="6419464.5100000007"/>
    <n v="7611475.8700000001"/>
    <n v="7490117.1299999999"/>
  </r>
  <r>
    <x v="1"/>
    <n v="5842638.2699999996"/>
    <n v="4370290.34"/>
    <n v="4214590.8"/>
    <n v="3746491.5300000003"/>
    <n v="2447321.8699999996"/>
    <n v="4931735.09"/>
    <n v="3798029.02"/>
    <n v="4183905.12"/>
    <n v="3490732.89"/>
    <n v="4116809.58"/>
    <n v="3526269.52"/>
  </r>
  <r>
    <x v="1"/>
    <n v="10228059.571858434"/>
    <n v="7500000"/>
    <n v="8122118.6342195962"/>
    <n v="7715525.1238938067"/>
    <n v="16229323.458761062"/>
    <n v="16045316.246371681"/>
    <n v="7602209.982300885"/>
    <n v="-495752.67999999877"/>
    <n v="7903222.5858407086"/>
    <n v="7684438.6017699111"/>
    <n v="7364337.1064601773"/>
  </r>
  <r>
    <x v="1"/>
    <m/>
    <m/>
    <m/>
    <m/>
    <n v="9700000"/>
    <n v="3860907.7099999995"/>
    <n v="4396749.8900000006"/>
    <n v="4645116.54"/>
    <n v="1801556.5299999998"/>
    <n v="5775169.1600000001"/>
    <n v="4614241.4700000007"/>
  </r>
  <r>
    <x v="2"/>
    <n v="129202.50000000001"/>
    <n v="224774.8"/>
    <n v="172338.53999999998"/>
    <n v="145752.49000000002"/>
    <n v="196031.88999999998"/>
    <n v="232701.73"/>
    <n v="53028.070000000014"/>
    <n v="81883.820000000007"/>
    <n v="107789.30999999998"/>
    <n v="195442.08000000002"/>
    <n v="228161.3"/>
  </r>
  <r>
    <x v="2"/>
    <n v="278140.90999999997"/>
    <n v="365356.23"/>
    <n v="201972.43"/>
    <n v="216077.38999999998"/>
    <n v="896895.77"/>
    <n v="889339.17"/>
    <n v="406651.11"/>
    <n v="980847.52"/>
    <n v="980810.64000000013"/>
    <n v="370989.5199999999"/>
    <n v="593504.31000000006"/>
  </r>
  <r>
    <x v="2"/>
    <n v="3381765.6527698934"/>
    <n v="3165539.3002213463"/>
    <n v="3295046.384234847"/>
    <n v="2251390.086138261"/>
    <n v="4236008.8715189435"/>
    <n v="3429696.8058720669"/>
    <n v="2461872.0974432528"/>
    <n v="3617816.401620768"/>
    <n v="4244007.5633140318"/>
    <n v="4007418.0651175752"/>
    <n v="4943931.395595111"/>
  </r>
  <r>
    <x v="2"/>
    <n v="10041939.850000009"/>
    <n v="16355823.570000008"/>
    <n v="9762170.1999999732"/>
    <n v="4502862.2700000107"/>
    <n v="16116937.030000001"/>
    <n v="16155769.589999996"/>
    <n v="12436566.810000002"/>
    <n v="17262645.509999998"/>
    <n v="13075093.980000012"/>
    <n v="11138609.329999991"/>
    <n v="19356439.840000004"/>
  </r>
  <r>
    <x v="2"/>
    <n v="208508.21"/>
    <n v="237046.0900000004"/>
    <n v="232809.06000000105"/>
    <n v="198222.9199999994"/>
    <n v="201329.7899999998"/>
    <n v="249855.21000000011"/>
    <n v="212625.31999999972"/>
    <n v="286712.55000000034"/>
    <n v="279944.8699999997"/>
    <n v="286534.63000000024"/>
    <n v="272977.19999999931"/>
  </r>
  <r>
    <x v="2"/>
    <n v="419625.04999999958"/>
    <n v="511001.07999999978"/>
    <n v="553775.2900000005"/>
    <n v="532226.95000000077"/>
    <n v="534110.7699999999"/>
    <n v="588686.77999999921"/>
    <n v="455244.14000000083"/>
    <n v="620786.71999999916"/>
    <n v="500581.15000000026"/>
    <n v="506870.96000000072"/>
    <n v="631117.37999999989"/>
  </r>
  <r>
    <x v="2"/>
    <n v="837263.8912829496"/>
    <n v="590067.80150650023"/>
    <n v="684969.74588377203"/>
    <n v="197971.71563228703"/>
    <n v="207351.73429602286"/>
    <n v="206704.83603346534"/>
    <n v="178541.94537448199"/>
    <n v="142887.63151682421"/>
    <n v="317786.01320306532"/>
    <n v="724672.85093551758"/>
    <n v="753430.72293925309"/>
  </r>
  <r>
    <x v="2"/>
    <n v="576586.98666162661"/>
    <n v="472308.45977831405"/>
    <n v="620235.88375039049"/>
    <n v="585839.2605475845"/>
    <n v="520090.06882123777"/>
    <n v="709701.92930950387"/>
    <n v="114835.24451618112"/>
    <n v="219997.55044105079"/>
    <n v="198158.40572878724"/>
    <n v="392128.95639169478"/>
    <n v="415732.85531348886"/>
  </r>
  <r>
    <x v="2"/>
    <n v="384957.06326627574"/>
    <n v="326377.58009826095"/>
    <n v="424191.01409973222"/>
    <n v="581491.76178682572"/>
    <n v="616184.31000000006"/>
    <n v="413565.07248771732"/>
    <n v="364886.76162572479"/>
    <n v="278612.81081286224"/>
    <n v="202807.74647789125"/>
    <n v="343243.41103439138"/>
    <n v="433450.67167485505"/>
  </r>
  <r>
    <x v="2"/>
    <n v="621941.71385663841"/>
    <n v="591579.24836406927"/>
    <n v="853885.72785036918"/>
    <n v="736956.05531546299"/>
    <n v="964047.38392518484"/>
    <n v="412596.06759351934"/>
    <n v="557706.79518703837"/>
    <n v="400703.95063092723"/>
    <n v="459222.87999999989"/>
    <n v="487199.18316583266"/>
    <n v="638301.28392518463"/>
  </r>
  <r>
    <x v="2"/>
    <n v="539621.79114636814"/>
    <n v="369421.04528479726"/>
    <n v="489117.91881222191"/>
    <n v="629699.5640083591"/>
    <n v="941203.33431785682"/>
    <n v="544060.34247152042"/>
    <n v="551242.48235760117"/>
    <n v="407784.65926820104"/>
    <n v="410350.96938211983"/>
    <n v="559410.66815112764"/>
    <n v="694928.86010915088"/>
  </r>
  <r>
    <x v="2"/>
    <n v="492408.91719681415"/>
    <n v="450950.82814584719"/>
    <n v="486755.6733935799"/>
    <n v="768144.32190090697"/>
    <n v="974215.56416329334"/>
    <n v="280033.27714863978"/>
    <n v="425950.46678715997"/>
    <n v="313103.41131193331"/>
    <n v="321081.8311311932"/>
    <n v="399427.12345715275"/>
    <n v="549645.63070614077"/>
  </r>
  <r>
    <x v="3"/>
    <n v="840846.26"/>
    <n v="1233051.5999999999"/>
    <n v="994928.49000000011"/>
    <n v="1101008.23"/>
    <n v="968902.1"/>
    <n v="476751.15"/>
    <n v="263469.74"/>
    <n v="536679.02"/>
    <n v="550268.27"/>
    <n v="753355.34000000008"/>
    <n v="1799322.8099999989"/>
  </r>
  <r>
    <x v="3"/>
    <n v="584150.76"/>
    <n v="865219.07"/>
    <n v="570770.06000000006"/>
    <n v="563257.06999999995"/>
    <n v="411949.5"/>
    <n v="240200.11"/>
    <n v="189183.51"/>
    <n v="229483.69"/>
    <n v="269117.96000000002"/>
    <n v="615047.04"/>
    <n v="1167551.8300000015"/>
  </r>
  <r>
    <x v="3"/>
    <n v="1421814.3699999999"/>
    <n v="2141341.2400000002"/>
    <n v="1527992.6"/>
    <n v="1583109.8900000001"/>
    <n v="1079704.03"/>
    <n v="959164.83000000007"/>
    <n v="685402.09"/>
    <n v="637959.64"/>
    <n v="620641.66999999993"/>
    <n v="1375468.62"/>
    <n v="2498582.7199999988"/>
  </r>
  <r>
    <x v="3"/>
    <n v="1003316.3600000001"/>
    <n v="1255453.75"/>
    <n v="984851.28"/>
    <n v="1454537.3199999998"/>
    <n v="1055855.1200000001"/>
    <n v="876001.24999999988"/>
    <n v="574412.31000000006"/>
    <n v="610166.49"/>
    <n v="748284.85000000009"/>
    <n v="1354812.6400000001"/>
    <n v="2202635.7599999998"/>
  </r>
  <r>
    <x v="3"/>
    <n v="1439621.6600000001"/>
    <n v="925777.33"/>
    <n v="1087240.8900000001"/>
    <n v="1584341.7400000002"/>
    <n v="1470682.0399999998"/>
    <n v="653722.2300000001"/>
    <n v="644288.1"/>
    <n v="669126.55000000005"/>
    <n v="822905.52"/>
    <n v="1366302.8599999999"/>
    <n v="2778795.2100000014"/>
  </r>
  <r>
    <x v="3"/>
    <n v="1694627.9300000002"/>
    <n v="1441196.5999999999"/>
    <n v="1316832.94"/>
    <n v="1475348.21"/>
    <n v="1070235.1000000001"/>
    <n v="609777.99000000011"/>
    <n v="508587.85"/>
    <n v="591195.34"/>
    <n v="711749.1"/>
    <n v="1263085.81"/>
    <n v="2953021.4599999981"/>
  </r>
  <r>
    <x v="3"/>
    <n v="2197753.9900000002"/>
    <n v="2132169.73"/>
    <n v="2160169.9899999998"/>
    <n v="2407393.19"/>
    <n v="1611615.86"/>
    <n v="1449325.8499999999"/>
    <n v="817954.49"/>
    <n v="1022119.94"/>
    <n v="1207859.1700000002"/>
    <n v="1812240.91"/>
    <n v="4026808.0300000003"/>
  </r>
  <r>
    <x v="3"/>
    <n v="1906813.0899999999"/>
    <n v="1742768.8399999999"/>
    <n v="1588154.4000000001"/>
    <n v="1903383.83"/>
    <n v="1893241.76"/>
    <n v="1098730.1099999999"/>
    <n v="699223.19000000006"/>
    <n v="487784.86"/>
    <n v="698633.62"/>
    <n v="1353380.16"/>
    <n v="3265095.5999999992"/>
  </r>
  <r>
    <x v="3"/>
    <n v="2613909.4000000022"/>
    <n v="3017023.4799999981"/>
    <n v="2644433.8899999992"/>
    <n v="3245844.8699999992"/>
    <n v="2326980.8399999994"/>
    <n v="1298154.0600000005"/>
    <n v="1141604.5099999998"/>
    <n v="1441004.9799999993"/>
    <n v="1310350.5920335678"/>
    <n v="2456563.3579664333"/>
    <n v="5236379.179999996"/>
  </r>
  <r>
    <x v="3"/>
    <n v="3376888.75"/>
    <n v="3042128.37"/>
    <n v="2708475.6000000006"/>
    <n v="3671875.34"/>
    <n v="3214582.24"/>
    <n v="1661888.7899999998"/>
    <n v="1452976.46"/>
    <n v="1776902.15"/>
    <n v="1877365.5100000002"/>
    <n v="3114814.23"/>
    <n v="6531910.6599999936"/>
  </r>
  <r>
    <x v="3"/>
    <n v="2010337.4500000002"/>
    <n v="2095732.44"/>
    <n v="3069164.02"/>
    <n v="2956453.3899999983"/>
    <n v="2597827.08"/>
    <n v="1659402.5699999998"/>
    <n v="2388574.27"/>
    <n v="1931018.1399999997"/>
    <n v="1198635.75"/>
    <n v="601645.47000000055"/>
    <n v="6074351.3599999985"/>
  </r>
  <r>
    <x v="3"/>
    <n v="1552428.8599999996"/>
    <n v="1395371.6"/>
    <n v="1343977.0099999995"/>
    <n v="1476088.7899999998"/>
    <n v="1300474.4200000004"/>
    <n v="825376.48"/>
    <n v="520867.21999999986"/>
    <n v="464440.01000000024"/>
    <n v="565893.25999999978"/>
    <n v="989630.3899999999"/>
    <n v="2150315.310000001"/>
  </r>
  <r>
    <x v="3"/>
    <n v="2869021.4999999991"/>
    <n v="2571464.6300000018"/>
    <n v="2520013.96"/>
    <n v="2792768.8699999992"/>
    <n v="2688349.7099999986"/>
    <n v="1631409.6600000001"/>
    <n v="1066720.0899999999"/>
    <n v="858947.92000000027"/>
    <n v="1057188.81"/>
    <n v="1979247.57"/>
    <n v="4105580.84"/>
  </r>
  <r>
    <x v="3"/>
    <n v="3119389.11"/>
    <n v="2866436.3600000008"/>
    <n v="2778859.8400000008"/>
    <n v="2873834.28"/>
    <n v="2655078.3199999994"/>
    <n v="1636562.7200000007"/>
    <n v="1093295.8699999999"/>
    <n v="892468.88000000012"/>
    <n v="977175.31000000029"/>
    <n v="2163507.52"/>
    <n v="3548624.7200000011"/>
  </r>
  <r>
    <x v="3"/>
    <n v="2708017.5399999996"/>
    <n v="2405236.8900000015"/>
    <n v="2355635.1800000006"/>
    <n v="2645012.1599999992"/>
    <n v="2395013.6100000003"/>
    <n v="1373960.3000000005"/>
    <n v="796163.39000000013"/>
    <n v="852378.81"/>
    <n v="896160.34999999951"/>
    <n v="1799445.21"/>
    <n v="3698836.16"/>
  </r>
  <r>
    <x v="4"/>
    <n v="38787.629999999997"/>
    <n v="56234.87"/>
    <n v="46541.42"/>
    <n v="34027.49"/>
    <n v="49320.98"/>
    <n v="47364.049999999996"/>
    <n v="37976.58"/>
    <n v="49998.559999999998"/>
    <n v="46966.124612865409"/>
    <n v="41629.18"/>
    <n v="64948.159999999996"/>
  </r>
  <r>
    <x v="4"/>
    <n v="33925.32"/>
    <n v="56918.380000000005"/>
    <n v="31998.78"/>
    <n v="47244.959999999999"/>
    <n v="57476.800000000003"/>
    <n v="57486.479999999996"/>
    <n v="47539.33"/>
    <n v="59520.1"/>
    <n v="57398.62"/>
    <n v="58640.899999999994"/>
    <n v="65061.120000000003"/>
  </r>
  <r>
    <x v="4"/>
    <n v="114605.15999999997"/>
    <n v="199929.22"/>
    <n v="161418.84000000003"/>
    <n v="152473.14000000001"/>
    <n v="204063.9"/>
    <n v="193963.55999999997"/>
    <n v="202586.22"/>
    <n v="212428.34"/>
    <n v="218929.34"/>
    <n v="243942.58"/>
    <n v="196757.1"/>
  </r>
  <r>
    <x v="5"/>
    <n v="2488176.0100000002"/>
    <n v="2383415.12"/>
    <n v="2563122.67"/>
    <n v="2705375.88"/>
    <n v="3005956.29"/>
    <n v="2986516.02"/>
    <n v="1718023.6568261993"/>
    <n v="3260567.55"/>
    <n v="3323186.8000000003"/>
    <n v="3019412.9499999997"/>
    <n v="3149712.76"/>
  </r>
  <r>
    <x v="6"/>
    <n v="7598708.5051499931"/>
    <n v="7422582.1376000056"/>
    <n v="8802713.2593215946"/>
    <n v="7860577.8415900031"/>
    <n v="7092715.188219998"/>
    <n v="10657025.667990001"/>
    <n v="6294411.0747199953"/>
    <n v="6301033.339300001"/>
    <n v="7793477.0156999994"/>
    <n v="12240755.72748"/>
    <n v="26191128.928220015"/>
  </r>
  <r>
    <x v="7"/>
    <n v="26303700.550000001"/>
    <n v="20030022.609999999"/>
    <n v="24799552.350000001"/>
    <n v="30434905.91"/>
    <n v="17967066.460000001"/>
    <n v="54295210.530000001"/>
    <n v="-11448555.449999999"/>
    <n v="22183086.789999999"/>
    <n v="22067509.239999998"/>
    <n v="23641780.960000001"/>
    <n v="23919169.48"/>
  </r>
  <r>
    <x v="8"/>
    <n v="275418.84999999998"/>
    <n v="175582.16"/>
    <n v="159614.67000000001"/>
    <n v="126561.87"/>
    <n v="92832.5"/>
    <n v="38259.730000000003"/>
    <n v="12077.99"/>
    <n v="-67393.97"/>
    <n v="-58899.23"/>
    <n v="-72332.710000000006"/>
    <n v="-575605.14"/>
  </r>
  <r>
    <x v="8"/>
    <n v="0"/>
    <n v="0"/>
    <n v="0"/>
    <n v="0"/>
    <n v="0"/>
    <n v="0"/>
    <n v="0"/>
    <n v="0"/>
    <n v="0"/>
    <n v="0"/>
    <n v="0"/>
  </r>
  <r>
    <x v="8"/>
    <n v="0"/>
    <n v="-100800"/>
    <n v="0"/>
    <n v="-1195600"/>
    <n v="0"/>
    <n v="0"/>
    <n v="0"/>
    <n v="0"/>
    <n v="0"/>
    <n v="0"/>
    <n v="0"/>
  </r>
  <r>
    <x v="1"/>
    <n v="50000"/>
    <n v="50000"/>
    <n v="0"/>
    <n v="0"/>
    <n v="50000"/>
    <n v="0"/>
    <n v="0"/>
    <n v="0"/>
    <n v="0"/>
    <n v="0"/>
    <n v="0"/>
  </r>
  <r>
    <x v="1"/>
    <n v="700000"/>
    <n v="600000"/>
    <n v="600000"/>
    <n v="500000"/>
    <n v="50000"/>
    <n v="1000000"/>
    <n v="800000"/>
    <n v="700000"/>
    <n v="700000"/>
    <n v="1300000"/>
    <n v="800000"/>
  </r>
  <r>
    <x v="1"/>
    <n v="500000"/>
    <n v="400000"/>
    <n v="200000"/>
    <n v="300000"/>
    <n v="50000"/>
    <n v="600000"/>
    <n v="600000"/>
    <n v="750000"/>
    <n v="0"/>
    <n v="1400000"/>
    <n v="500000"/>
  </r>
  <r>
    <x v="1"/>
    <n v="28139296.07"/>
    <n v="26203698.199999999"/>
    <n v="22233259.739999998"/>
    <n v="32754481.449999999"/>
    <n v="32640317.600000001"/>
    <n v="20809122.239999998"/>
    <n v="25865028.960000001"/>
    <n v="26638393.030000001"/>
    <n v="311329.11"/>
    <n v="146368.06"/>
    <n v="124905.08"/>
  </r>
  <r>
    <x v="8"/>
    <n v="0"/>
    <n v="-2655516.2000000002"/>
    <n v="-715362.06"/>
    <n v="-1341640.56"/>
    <n v="-1760028"/>
    <n v="0"/>
    <n v="-66555"/>
    <n v="0"/>
    <n v="-1947189"/>
    <n v="-338800"/>
    <n v="-2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L14" firstHeaderRow="1" firstDataRow="2" firstDataCol="1"/>
  <pivotFields count="12">
    <pivotField axis="axisRow" showAll="0">
      <items count="13">
        <item x="4"/>
        <item m="1" x="11"/>
        <item x="7"/>
        <item m="1" x="9"/>
        <item x="2"/>
        <item x="1"/>
        <item x="0"/>
        <item x="8"/>
        <item m="1" x="10"/>
        <item x="3"/>
        <item x="6"/>
        <item x="5"/>
        <item t="default"/>
      </items>
    </pivotField>
    <pivotField dataField="1" showAll="0"/>
    <pivotField dataField="1" showAll="0"/>
    <pivotField dataField="1" showAll="0"/>
    <pivotField dataField="1" showAll="0"/>
    <pivotField dataField="1" numFmtId="172" showAll="0"/>
    <pivotField dataField="1" numFmtId="172" showAll="0"/>
    <pivotField dataField="1" numFmtId="172" showAll="0"/>
    <pivotField dataField="1" numFmtId="172" showAll="0"/>
    <pivotField dataField="1" numFmtId="172" showAll="0"/>
    <pivotField dataField="1" numFmtId="172" showAll="0"/>
    <pivotField dataField="1" numFmtId="172" showAll="0"/>
  </pivotFields>
  <rowFields count="1">
    <field x="0"/>
  </rowFields>
  <rowItems count="10">
    <i>
      <x/>
    </i>
    <i>
      <x v="2"/>
    </i>
    <i>
      <x v="4"/>
    </i>
    <i>
      <x v="5"/>
    </i>
    <i>
      <x v="6"/>
    </i>
    <i>
      <x v="7"/>
    </i>
    <i>
      <x v="9"/>
    </i>
    <i>
      <x v="10"/>
    </i>
    <i>
      <x v="11"/>
    </i>
    <i t="grand">
      <x/>
    </i>
  </rowItems>
  <colFields count="1">
    <field x="-2"/>
  </colFields>
  <colItems count="11">
    <i>
      <x/>
    </i>
    <i i="1">
      <x v="1"/>
    </i>
    <i i="2">
      <x v="2"/>
    </i>
    <i i="3">
      <x v="3"/>
    </i>
    <i i="4">
      <x v="4"/>
    </i>
    <i i="5">
      <x v="5"/>
    </i>
    <i i="6">
      <x v="6"/>
    </i>
    <i i="7">
      <x v="7"/>
    </i>
    <i i="8">
      <x v="8"/>
    </i>
    <i i="9">
      <x v="9"/>
    </i>
    <i i="10">
      <x v="10"/>
    </i>
  </colItems>
  <dataFields count="11">
    <dataField name="Sum of Jan-13" fld="1" baseField="0" baseItem="0"/>
    <dataField name="Sum of Feb-13" fld="2" baseField="0" baseItem="0"/>
    <dataField name="Sum of Mar-13" fld="3" baseField="0" baseItem="0"/>
    <dataField name="Sum of Apr-13" fld="4" baseField="0" baseItem="0"/>
    <dataField name="Sum of May-13" fld="5" baseField="0" baseItem="0"/>
    <dataField name="Sum of Jun-13" fld="6" baseField="0" baseItem="0"/>
    <dataField name="Sum of Jul-13" fld="7" baseField="0" baseItem="0"/>
    <dataField name="Sum of Aug-13" fld="8" baseField="0" baseItem="0"/>
    <dataField name="Sum of Sep-13" fld="9" baseField="0" baseItem="0"/>
    <dataField name="Sum of Oct-13" fld="10" baseField="0" baseItem="0"/>
    <dataField name="Sum of Nov-13" fld="11" baseField="0" baseItem="0"/>
  </dataFields>
  <formats count="1">
    <format dxfId="1">
      <pivotArea outline="0" collapsedLevelsAreSubtotals="1"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L14" firstHeaderRow="1" firstDataRow="2" firstDataCol="1"/>
  <pivotFields count="12">
    <pivotField axis="axisRow" showAll="0">
      <items count="13">
        <item x="4"/>
        <item m="1" x="11"/>
        <item x="7"/>
        <item m="1" x="9"/>
        <item x="2"/>
        <item x="1"/>
        <item x="0"/>
        <item x="8"/>
        <item m="1" x="10"/>
        <item x="3"/>
        <item x="6"/>
        <item x="5"/>
        <item t="default"/>
      </items>
    </pivotField>
    <pivotField dataField="1" showAll="0"/>
    <pivotField dataField="1" showAll="0"/>
    <pivotField dataField="1" showAll="0"/>
    <pivotField dataField="1" showAll="0"/>
    <pivotField dataField="1" numFmtId="172" showAll="0"/>
    <pivotField dataField="1" numFmtId="172" showAll="0"/>
    <pivotField dataField="1" numFmtId="172" showAll="0"/>
    <pivotField dataField="1" numFmtId="172" showAll="0"/>
    <pivotField dataField="1" numFmtId="172" showAll="0"/>
    <pivotField dataField="1" numFmtId="172" showAll="0"/>
    <pivotField dataField="1" numFmtId="172" showAll="0"/>
  </pivotFields>
  <rowFields count="1">
    <field x="0"/>
  </rowFields>
  <rowItems count="10">
    <i>
      <x/>
    </i>
    <i>
      <x v="2"/>
    </i>
    <i>
      <x v="4"/>
    </i>
    <i>
      <x v="5"/>
    </i>
    <i>
      <x v="6"/>
    </i>
    <i>
      <x v="7"/>
    </i>
    <i>
      <x v="9"/>
    </i>
    <i>
      <x v="10"/>
    </i>
    <i>
      <x v="11"/>
    </i>
    <i t="grand">
      <x/>
    </i>
  </rowItems>
  <colFields count="1">
    <field x="-2"/>
  </colFields>
  <colItems count="11">
    <i>
      <x/>
    </i>
    <i i="1">
      <x v="1"/>
    </i>
    <i i="2">
      <x v="2"/>
    </i>
    <i i="3">
      <x v="3"/>
    </i>
    <i i="4">
      <x v="4"/>
    </i>
    <i i="5">
      <x v="5"/>
    </i>
    <i i="6">
      <x v="6"/>
    </i>
    <i i="7">
      <x v="7"/>
    </i>
    <i i="8">
      <x v="8"/>
    </i>
    <i i="9">
      <x v="9"/>
    </i>
    <i i="10">
      <x v="10"/>
    </i>
  </colItems>
  <dataFields count="11">
    <dataField name="Sum of Jan-13" fld="1" baseField="0" baseItem="0"/>
    <dataField name="Sum of Feb-13" fld="2" baseField="0" baseItem="0"/>
    <dataField name="Sum of Mar-13" fld="3" baseField="0" baseItem="0"/>
    <dataField name="Sum of Apr-13" fld="4" baseField="0" baseItem="0"/>
    <dataField name="Sum of May-13" fld="5" baseField="0" baseItem="0"/>
    <dataField name="Sum of Jun-13" fld="6" baseField="0" baseItem="0"/>
    <dataField name="Sum of Jul-13" fld="7" baseField="0" baseItem="0"/>
    <dataField name="Sum of Aug-13" fld="8" baseField="0" baseItem="0"/>
    <dataField name="Sum of Sep-13" fld="9" baseField="0" baseItem="0"/>
    <dataField name="Sum of Oct-13" fld="10" baseField="0" baseItem="0"/>
    <dataField name="Sum of Nov-13" fld="11" baseField="0" baseItem="0"/>
  </dataFields>
  <formats count="1">
    <format dxfId="0">
      <pivotArea outline="0" collapsedLevelsAreSubtotals="1"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so.ca/imoweb/marketdata/marketSummary.asp" TargetMode="External"/><Relationship Id="rId3" Type="http://schemas.openxmlformats.org/officeDocument/2006/relationships/hyperlink" Target="http://ieso.ca/imoweb/b100/b100_GA.asp" TargetMode="External"/><Relationship Id="rId7" Type="http://schemas.openxmlformats.org/officeDocument/2006/relationships/hyperlink" Target="http://ieso.ca/imoweb/b100/b100_GA.asp" TargetMode="External"/><Relationship Id="rId12" Type="http://schemas.openxmlformats.org/officeDocument/2006/relationships/comments" Target="../comments1.xml"/><Relationship Id="rId2" Type="http://schemas.openxmlformats.org/officeDocument/2006/relationships/hyperlink" Target="http://www.ieso.ca/imoweb/marketdata/marketSummary.asp" TargetMode="External"/><Relationship Id="rId1" Type="http://schemas.openxmlformats.org/officeDocument/2006/relationships/hyperlink" Target="http://www.ieso.ca/imoweb/marketdata/marketSummary.asp" TargetMode="External"/><Relationship Id="rId6" Type="http://schemas.openxmlformats.org/officeDocument/2006/relationships/hyperlink" Target="http://ieso.ca/imoweb/b100/b100_GA.asp" TargetMode="External"/><Relationship Id="rId11" Type="http://schemas.openxmlformats.org/officeDocument/2006/relationships/vmlDrawing" Target="../drawings/vmlDrawing1.vml"/><Relationship Id="rId5" Type="http://schemas.openxmlformats.org/officeDocument/2006/relationships/hyperlink" Target="http://ieso.ca/imoweb/b100/b100_GA.asp" TargetMode="External"/><Relationship Id="rId10" Type="http://schemas.openxmlformats.org/officeDocument/2006/relationships/drawing" Target="../drawings/drawing1.xml"/><Relationship Id="rId4" Type="http://schemas.openxmlformats.org/officeDocument/2006/relationships/hyperlink" Target="http://www.ieso.ca/imoweb/marketdata/marketSummary.asp"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ieso.ca/imoweb/marketdata/marketSummary.asp" TargetMode="External"/><Relationship Id="rId3" Type="http://schemas.openxmlformats.org/officeDocument/2006/relationships/hyperlink" Target="http://ieso.ca/imoweb/b100/b100_GA.asp" TargetMode="External"/><Relationship Id="rId7" Type="http://schemas.openxmlformats.org/officeDocument/2006/relationships/hyperlink" Target="http://ieso.ca/imoweb/b100/b100_GA.asp" TargetMode="External"/><Relationship Id="rId12" Type="http://schemas.openxmlformats.org/officeDocument/2006/relationships/comments" Target="../comments2.xml"/><Relationship Id="rId2" Type="http://schemas.openxmlformats.org/officeDocument/2006/relationships/hyperlink" Target="http://www.ieso.ca/imoweb/marketdata/marketSummary.asp" TargetMode="External"/><Relationship Id="rId1" Type="http://schemas.openxmlformats.org/officeDocument/2006/relationships/hyperlink" Target="http://www.ieso.ca/imoweb/marketdata/marketSummary.asp" TargetMode="External"/><Relationship Id="rId6" Type="http://schemas.openxmlformats.org/officeDocument/2006/relationships/hyperlink" Target="http://ieso.ca/imoweb/b100/b100_GA.asp" TargetMode="External"/><Relationship Id="rId11" Type="http://schemas.openxmlformats.org/officeDocument/2006/relationships/vmlDrawing" Target="../drawings/vmlDrawing2.vml"/><Relationship Id="rId5" Type="http://schemas.openxmlformats.org/officeDocument/2006/relationships/hyperlink" Target="http://ieso.ca/imoweb/b100/b100_GA.asp" TargetMode="External"/><Relationship Id="rId10" Type="http://schemas.openxmlformats.org/officeDocument/2006/relationships/drawing" Target="../drawings/drawing6.xml"/><Relationship Id="rId4" Type="http://schemas.openxmlformats.org/officeDocument/2006/relationships/hyperlink" Target="http://www.ieso.ca/imoweb/marketdata/marketSummary.asp"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T94"/>
  <sheetViews>
    <sheetView showGridLines="0" zoomScale="70" zoomScaleNormal="70" workbookViewId="0">
      <selection activeCell="S38" sqref="S38"/>
    </sheetView>
  </sheetViews>
  <sheetFormatPr defaultColWidth="9.140625" defaultRowHeight="12.75" x14ac:dyDescent="0.2"/>
  <cols>
    <col min="1" max="1" width="55.42578125" style="19" customWidth="1"/>
    <col min="2" max="3" width="9.7109375" style="19" hidden="1" customWidth="1"/>
    <col min="4" max="5" width="8.7109375" style="19" hidden="1" customWidth="1"/>
    <col min="6" max="6" width="3.140625" style="19" hidden="1" customWidth="1"/>
    <col min="7" max="16" width="8.7109375" style="19" hidden="1" customWidth="1"/>
    <col min="17" max="17" width="9.85546875" style="19" hidden="1" customWidth="1"/>
    <col min="18" max="18" width="10.42578125" style="19" hidden="1" customWidth="1"/>
    <col min="19" max="22" width="9.85546875" style="19" hidden="1" customWidth="1"/>
    <col min="23" max="24" width="10.42578125" style="19" hidden="1" customWidth="1"/>
    <col min="25" max="25" width="11.28515625" style="19" hidden="1" customWidth="1"/>
    <col min="26" max="26" width="10.28515625" style="19" hidden="1" customWidth="1"/>
    <col min="27" max="27" width="10.140625" style="19" hidden="1" customWidth="1"/>
    <col min="28" max="28" width="10" style="19" hidden="1" customWidth="1"/>
    <col min="29" max="29" width="10.42578125" style="19" hidden="1" customWidth="1"/>
    <col min="30" max="30" width="8.7109375" style="19" hidden="1" customWidth="1"/>
    <col min="31" max="31" width="9.42578125" style="19" hidden="1" customWidth="1"/>
    <col min="32" max="32" width="8.7109375" style="19" hidden="1" customWidth="1"/>
    <col min="33" max="33" width="10" style="19" hidden="1" customWidth="1"/>
    <col min="34" max="38" width="10.42578125" style="19" hidden="1" customWidth="1"/>
    <col min="39" max="39" width="9.85546875" style="19" hidden="1" customWidth="1"/>
    <col min="40" max="44" width="10.42578125" style="19" hidden="1" customWidth="1"/>
    <col min="45" max="45" width="11.85546875" style="19" hidden="1" customWidth="1"/>
    <col min="46" max="46" width="10.42578125" style="19" hidden="1" customWidth="1"/>
    <col min="47" max="47" width="15.140625" style="19" hidden="1" customWidth="1"/>
    <col min="48" max="48" width="12.42578125" style="19" hidden="1" customWidth="1"/>
    <col min="49" max="52" width="10.42578125" style="19" hidden="1" customWidth="1"/>
    <col min="53" max="53" width="3.7109375" style="19" hidden="1" customWidth="1"/>
    <col min="54" max="62" width="11.42578125" style="19" hidden="1" customWidth="1"/>
    <col min="63" max="74" width="10" style="19" customWidth="1"/>
    <col min="75" max="75" width="14.140625" style="19" customWidth="1"/>
    <col min="76" max="76" width="11.140625" style="19" hidden="1" customWidth="1"/>
    <col min="77" max="77" width="9.28515625" style="19" hidden="1" customWidth="1"/>
    <col min="78" max="78" width="9.140625" style="19" hidden="1" customWidth="1"/>
    <col min="79" max="79" width="8.7109375" style="19" hidden="1" customWidth="1"/>
    <col min="80" max="85" width="9.140625" style="19" hidden="1" customWidth="1"/>
    <col min="86" max="86" width="11" style="19" hidden="1" customWidth="1"/>
    <col min="87" max="87" width="12" style="19" hidden="1" customWidth="1"/>
    <col min="88" max="88" width="13.140625" style="19" hidden="1" customWidth="1"/>
    <col min="89" max="89" width="9.42578125" style="19" hidden="1" customWidth="1"/>
    <col min="90" max="90" width="10.42578125" style="19" hidden="1" customWidth="1"/>
    <col min="91" max="91" width="9.140625" style="19" hidden="1" customWidth="1"/>
    <col min="92" max="92" width="12.140625" style="19" hidden="1" customWidth="1"/>
    <col min="93" max="93" width="10.140625" style="19" hidden="1" customWidth="1"/>
    <col min="94" max="94" width="12.140625" style="19" hidden="1" customWidth="1"/>
    <col min="95" max="96" width="11.42578125" style="52" hidden="1" customWidth="1"/>
    <col min="97" max="99" width="14.28515625" style="53" hidden="1" customWidth="1"/>
    <col min="100" max="100" width="16" style="53" hidden="1" customWidth="1"/>
    <col min="101" max="101" width="15.28515625" style="19" hidden="1" customWidth="1"/>
    <col min="102" max="102" width="15.42578125" style="19" hidden="1" customWidth="1"/>
    <col min="103" max="103" width="15" style="54" hidden="1" customWidth="1"/>
    <col min="104" max="104" width="19.7109375" style="19" hidden="1" customWidth="1"/>
    <col min="105" max="105" width="16.7109375" style="19" hidden="1" customWidth="1"/>
    <col min="106" max="106" width="16.85546875" style="19" hidden="1" customWidth="1"/>
    <col min="107" max="107" width="18.28515625" style="19" hidden="1" customWidth="1"/>
    <col min="108" max="108" width="17.28515625" style="19" hidden="1" customWidth="1"/>
    <col min="109" max="109" width="18.28515625" style="19" hidden="1" customWidth="1"/>
    <col min="110" max="110" width="17.85546875" style="19" hidden="1" customWidth="1"/>
    <col min="111" max="111" width="16" style="19" hidden="1" customWidth="1"/>
    <col min="112" max="112" width="17.85546875" style="19" hidden="1" customWidth="1"/>
    <col min="113" max="114" width="18.28515625" style="19" hidden="1" customWidth="1"/>
    <col min="115" max="115" width="14.140625" style="19" hidden="1" customWidth="1"/>
    <col min="116" max="116" width="14.42578125" style="19" hidden="1" customWidth="1"/>
    <col min="117" max="117" width="16.85546875" style="19" hidden="1" customWidth="1"/>
    <col min="118" max="118" width="15.28515625" style="19" hidden="1" customWidth="1"/>
    <col min="119" max="119" width="16.42578125" style="19" hidden="1" customWidth="1"/>
    <col min="120" max="120" width="4.7109375" style="19" hidden="1" customWidth="1"/>
    <col min="121" max="121" width="16.42578125" style="19" hidden="1" customWidth="1"/>
    <col min="122" max="122" width="19" style="19" hidden="1" customWidth="1"/>
    <col min="123" max="123" width="14.42578125" style="19" hidden="1" customWidth="1"/>
    <col min="124" max="124" width="14.7109375" style="19" hidden="1" customWidth="1"/>
    <col min="125" max="125" width="15.28515625" style="19" hidden="1" customWidth="1"/>
    <col min="126" max="126" width="13.42578125" style="19" hidden="1" customWidth="1"/>
    <col min="127" max="127" width="13.140625" style="55" hidden="1" customWidth="1"/>
    <col min="128" max="128" width="14.42578125" style="56" hidden="1" customWidth="1"/>
    <col min="129" max="129" width="16.140625" style="56" hidden="1" customWidth="1"/>
    <col min="130" max="130" width="16" style="19" hidden="1" customWidth="1"/>
    <col min="131" max="131" width="19.140625" style="19" hidden="1" customWidth="1"/>
    <col min="132" max="132" width="18" style="54" hidden="1" customWidth="1"/>
    <col min="133" max="133" width="13.140625" style="19" hidden="1" customWidth="1"/>
    <col min="134" max="134" width="16.140625" style="19" hidden="1" customWidth="1"/>
    <col min="135" max="135" width="13.85546875" style="19" hidden="1" customWidth="1"/>
    <col min="136" max="136" width="0.85546875" style="19" hidden="1" customWidth="1"/>
    <col min="137" max="137" width="14.42578125" style="19" bestFit="1" customWidth="1"/>
    <col min="138" max="138" width="13.85546875" style="19" bestFit="1" customWidth="1"/>
    <col min="139" max="139" width="14.7109375" style="19" customWidth="1"/>
    <col min="140" max="140" width="14" style="19" bestFit="1" customWidth="1"/>
    <col min="141" max="141" width="13.42578125" style="19" bestFit="1" customWidth="1"/>
    <col min="142" max="144" width="15.140625" style="19" bestFit="1" customWidth="1"/>
    <col min="145" max="145" width="14.28515625" style="19" customWidth="1"/>
    <col min="146" max="146" width="13.85546875" style="19" bestFit="1" customWidth="1"/>
    <col min="147" max="147" width="14.140625" style="19" customWidth="1"/>
    <col min="148" max="148" width="13.140625" style="19" bestFit="1" customWidth="1"/>
    <col min="149" max="149" width="13.42578125" style="19" bestFit="1" customWidth="1"/>
    <col min="150" max="150" width="13.140625" style="19" bestFit="1" customWidth="1"/>
    <col min="151" max="16384" width="9.140625" style="19"/>
  </cols>
  <sheetData>
    <row r="1" spans="1:150" x14ac:dyDescent="0.2">
      <c r="A1" s="50" t="s">
        <v>113</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row>
    <row r="2" spans="1:150" ht="13.5" customHeight="1" thickBot="1" x14ac:dyDescent="0.2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7" t="s">
        <v>114</v>
      </c>
      <c r="BX2" s="58"/>
      <c r="BY2" s="58"/>
      <c r="BZ2" s="58"/>
      <c r="CA2" s="58"/>
      <c r="CB2" s="58"/>
      <c r="CC2" s="58"/>
      <c r="CD2" s="58"/>
      <c r="CE2" s="58"/>
      <c r="CF2" s="58"/>
      <c r="CG2" s="58">
        <v>1</v>
      </c>
      <c r="CH2" s="58">
        <v>2</v>
      </c>
      <c r="CI2" s="58">
        <v>3</v>
      </c>
      <c r="CJ2" s="58">
        <v>4</v>
      </c>
      <c r="CK2" s="59">
        <v>5</v>
      </c>
      <c r="CL2" s="59">
        <v>6</v>
      </c>
      <c r="CM2" s="58">
        <v>7</v>
      </c>
      <c r="CN2" s="58">
        <v>8</v>
      </c>
      <c r="CO2" s="58">
        <v>9</v>
      </c>
      <c r="CP2" s="58">
        <v>10</v>
      </c>
      <c r="CQ2" s="60">
        <v>11</v>
      </c>
      <c r="CR2" s="61"/>
      <c r="CS2" s="62"/>
      <c r="CT2" s="62"/>
      <c r="CU2" s="62"/>
      <c r="CV2" s="62"/>
      <c r="CW2" s="58"/>
      <c r="CX2" s="58"/>
      <c r="CY2" s="63"/>
      <c r="CZ2" s="58"/>
      <c r="DA2" s="58"/>
      <c r="DB2" s="58"/>
      <c r="DC2" s="58"/>
      <c r="DD2" s="58"/>
      <c r="DE2" s="58"/>
      <c r="DF2" s="58"/>
      <c r="DG2" s="58"/>
      <c r="DH2" s="58"/>
      <c r="DI2" s="58"/>
      <c r="DJ2" s="58"/>
      <c r="DK2" s="58"/>
      <c r="DL2" s="58"/>
      <c r="DM2" s="58"/>
      <c r="DN2" s="58"/>
      <c r="DO2" s="58"/>
      <c r="DP2" s="58"/>
      <c r="DQ2" s="58"/>
      <c r="DR2" s="58"/>
      <c r="DS2" s="58"/>
      <c r="DT2" s="58"/>
      <c r="DU2" s="58"/>
      <c r="DV2" s="58"/>
      <c r="DW2" s="64"/>
      <c r="DX2" s="65"/>
      <c r="DY2" s="65"/>
      <c r="DZ2" s="58"/>
      <c r="EA2" s="58"/>
      <c r="EB2" s="63"/>
      <c r="EC2" s="58"/>
      <c r="ED2" s="58"/>
      <c r="EE2" s="58"/>
      <c r="EF2" s="58"/>
      <c r="EG2" s="58"/>
    </row>
    <row r="3" spans="1:150" s="71" customFormat="1" ht="13.5" customHeight="1" x14ac:dyDescent="0.2">
      <c r="A3" s="66"/>
      <c r="B3" s="67" t="s">
        <v>115</v>
      </c>
      <c r="C3" s="67" t="s">
        <v>116</v>
      </c>
      <c r="D3" s="67" t="s">
        <v>117</v>
      </c>
      <c r="E3" s="67" t="s">
        <v>118</v>
      </c>
      <c r="F3" s="67" t="s">
        <v>119</v>
      </c>
      <c r="G3" s="67" t="s">
        <v>120</v>
      </c>
      <c r="H3" s="67" t="s">
        <v>121</v>
      </c>
      <c r="I3" s="67" t="s">
        <v>122</v>
      </c>
      <c r="J3" s="67" t="s">
        <v>123</v>
      </c>
      <c r="K3" s="67" t="s">
        <v>124</v>
      </c>
      <c r="L3" s="67" t="s">
        <v>125</v>
      </c>
      <c r="M3" s="67">
        <v>39722</v>
      </c>
      <c r="N3" s="67">
        <v>39753</v>
      </c>
      <c r="O3" s="67">
        <v>39783</v>
      </c>
      <c r="P3" s="67">
        <v>39814</v>
      </c>
      <c r="Q3" s="15" t="s">
        <v>26</v>
      </c>
      <c r="R3" s="15" t="s">
        <v>27</v>
      </c>
      <c r="S3" s="15" t="s">
        <v>28</v>
      </c>
      <c r="T3" s="15" t="s">
        <v>29</v>
      </c>
      <c r="U3" s="15" t="s">
        <v>30</v>
      </c>
      <c r="V3" s="16" t="s">
        <v>31</v>
      </c>
      <c r="W3" s="15" t="s">
        <v>32</v>
      </c>
      <c r="X3" s="15" t="s">
        <v>33</v>
      </c>
      <c r="Y3" s="15" t="s">
        <v>34</v>
      </c>
      <c r="Z3" s="15" t="s">
        <v>35</v>
      </c>
      <c r="AA3" s="15" t="s">
        <v>36</v>
      </c>
      <c r="AB3" s="15" t="s">
        <v>37</v>
      </c>
      <c r="AC3" s="15" t="s">
        <v>38</v>
      </c>
      <c r="AD3" s="15" t="s">
        <v>39</v>
      </c>
      <c r="AE3" s="15" t="s">
        <v>40</v>
      </c>
      <c r="AF3" s="15" t="s">
        <v>41</v>
      </c>
      <c r="AG3" s="17" t="s">
        <v>42</v>
      </c>
      <c r="AH3" s="17" t="s">
        <v>43</v>
      </c>
      <c r="AI3" s="17" t="s">
        <v>44</v>
      </c>
      <c r="AJ3" s="17" t="s">
        <v>45</v>
      </c>
      <c r="AK3" s="17" t="s">
        <v>46</v>
      </c>
      <c r="AL3" s="17" t="s">
        <v>47</v>
      </c>
      <c r="AM3" s="17" t="s">
        <v>48</v>
      </c>
      <c r="AN3" s="17" t="s">
        <v>49</v>
      </c>
      <c r="AO3" s="17" t="s">
        <v>50</v>
      </c>
      <c r="AP3" s="17" t="s">
        <v>51</v>
      </c>
      <c r="AQ3" s="17" t="s">
        <v>52</v>
      </c>
      <c r="AR3" s="17" t="s">
        <v>53</v>
      </c>
      <c r="AS3" s="17" t="s">
        <v>54</v>
      </c>
      <c r="AT3" s="17" t="s">
        <v>55</v>
      </c>
      <c r="AU3" s="17" t="s">
        <v>56</v>
      </c>
      <c r="AV3" s="17" t="s">
        <v>57</v>
      </c>
      <c r="AW3" s="17" t="s">
        <v>58</v>
      </c>
      <c r="AX3" s="17" t="s">
        <v>59</v>
      </c>
      <c r="AY3" s="17" t="s">
        <v>60</v>
      </c>
      <c r="AZ3" s="17" t="s">
        <v>61</v>
      </c>
      <c r="BA3" s="17" t="s">
        <v>62</v>
      </c>
      <c r="BB3" s="17" t="s">
        <v>63</v>
      </c>
      <c r="BC3" s="17" t="s">
        <v>64</v>
      </c>
      <c r="BD3" s="17" t="s">
        <v>65</v>
      </c>
      <c r="BE3" s="17" t="s">
        <v>66</v>
      </c>
      <c r="BF3" s="17" t="s">
        <v>67</v>
      </c>
      <c r="BG3" s="17" t="s">
        <v>68</v>
      </c>
      <c r="BH3" s="17" t="s">
        <v>69</v>
      </c>
      <c r="BI3" s="17" t="s">
        <v>70</v>
      </c>
      <c r="BJ3" s="17" t="s">
        <v>71</v>
      </c>
      <c r="BK3" s="17" t="s">
        <v>72</v>
      </c>
      <c r="BL3" s="17" t="s">
        <v>73</v>
      </c>
      <c r="BM3" s="18" t="s">
        <v>74</v>
      </c>
      <c r="BN3" s="18" t="s">
        <v>75</v>
      </c>
      <c r="BO3" s="18" t="s">
        <v>76</v>
      </c>
      <c r="BP3" s="18" t="s">
        <v>77</v>
      </c>
      <c r="BQ3" s="18" t="s">
        <v>78</v>
      </c>
      <c r="BR3" s="18" t="s">
        <v>79</v>
      </c>
      <c r="BS3" s="18" t="s">
        <v>80</v>
      </c>
      <c r="BT3" s="18" t="s">
        <v>81</v>
      </c>
      <c r="BU3" s="18" t="s">
        <v>82</v>
      </c>
      <c r="BV3" s="18" t="s">
        <v>83</v>
      </c>
      <c r="BW3" s="17" t="s">
        <v>126</v>
      </c>
      <c r="BX3" s="68" t="s">
        <v>127</v>
      </c>
      <c r="BY3" s="68" t="s">
        <v>128</v>
      </c>
      <c r="BZ3" s="68" t="s">
        <v>129</v>
      </c>
      <c r="CA3" s="68" t="s">
        <v>130</v>
      </c>
      <c r="CB3" s="68" t="s">
        <v>131</v>
      </c>
      <c r="CC3" s="68" t="s">
        <v>132</v>
      </c>
      <c r="CD3" s="68" t="s">
        <v>133</v>
      </c>
      <c r="CE3" s="68" t="s">
        <v>134</v>
      </c>
      <c r="CF3" s="68" t="s">
        <v>135</v>
      </c>
      <c r="CG3" s="68" t="s">
        <v>136</v>
      </c>
      <c r="CH3" s="68" t="s">
        <v>137</v>
      </c>
      <c r="CI3" s="68" t="s">
        <v>138</v>
      </c>
      <c r="CJ3" s="69" t="s">
        <v>139</v>
      </c>
      <c r="CK3" s="70" t="s">
        <v>140</v>
      </c>
      <c r="CL3" s="71" t="s">
        <v>141</v>
      </c>
      <c r="CM3" s="71" t="s">
        <v>142</v>
      </c>
      <c r="CN3" s="71" t="s">
        <v>143</v>
      </c>
      <c r="CO3" s="71" t="s">
        <v>144</v>
      </c>
      <c r="CP3" s="71" t="s">
        <v>145</v>
      </c>
      <c r="CQ3" s="72" t="s">
        <v>146</v>
      </c>
      <c r="CR3" s="73" t="s">
        <v>147</v>
      </c>
      <c r="CS3" s="74" t="s">
        <v>148</v>
      </c>
      <c r="CT3" s="74" t="s">
        <v>149</v>
      </c>
      <c r="CU3" s="74" t="s">
        <v>150</v>
      </c>
      <c r="CV3" s="74" t="s">
        <v>151</v>
      </c>
      <c r="CW3" s="71" t="s">
        <v>152</v>
      </c>
      <c r="CX3" s="71" t="s">
        <v>153</v>
      </c>
      <c r="CY3" s="71" t="s">
        <v>154</v>
      </c>
      <c r="CZ3" s="71" t="s">
        <v>155</v>
      </c>
      <c r="DA3" s="71" t="s">
        <v>156</v>
      </c>
      <c r="DB3" s="71" t="s">
        <v>157</v>
      </c>
      <c r="DC3" s="71" t="s">
        <v>158</v>
      </c>
      <c r="DD3" s="71" t="s">
        <v>159</v>
      </c>
      <c r="DE3" s="71" t="s">
        <v>160</v>
      </c>
      <c r="DF3" s="71" t="s">
        <v>161</v>
      </c>
      <c r="DG3" s="71" t="s">
        <v>162</v>
      </c>
      <c r="DH3" s="75" t="s">
        <v>163</v>
      </c>
      <c r="DI3" s="71" t="s">
        <v>164</v>
      </c>
      <c r="DJ3" s="71" t="s">
        <v>165</v>
      </c>
      <c r="DK3" s="76" t="s">
        <v>166</v>
      </c>
      <c r="DL3" s="71" t="s">
        <v>167</v>
      </c>
      <c r="DM3" s="71" t="s">
        <v>168</v>
      </c>
      <c r="DN3" s="71" t="s">
        <v>169</v>
      </c>
      <c r="DO3" s="71" t="s">
        <v>170</v>
      </c>
      <c r="DP3" s="71" t="s">
        <v>171</v>
      </c>
      <c r="DQ3" s="71" t="s">
        <v>172</v>
      </c>
      <c r="DR3" s="71" t="s">
        <v>173</v>
      </c>
      <c r="DS3" s="71" t="s">
        <v>174</v>
      </c>
      <c r="DT3" s="71" t="s">
        <v>175</v>
      </c>
      <c r="DU3" s="71" t="s">
        <v>176</v>
      </c>
      <c r="DV3" s="71" t="s">
        <v>177</v>
      </c>
      <c r="DW3" s="77" t="s">
        <v>178</v>
      </c>
      <c r="DX3" s="78" t="s">
        <v>179</v>
      </c>
      <c r="DY3" s="78" t="s">
        <v>180</v>
      </c>
      <c r="DZ3" s="71" t="s">
        <v>181</v>
      </c>
      <c r="EA3" s="71" t="s">
        <v>182</v>
      </c>
      <c r="EB3" s="79" t="s">
        <v>183</v>
      </c>
      <c r="EC3" s="79" t="s">
        <v>184</v>
      </c>
      <c r="ED3" s="79" t="s">
        <v>185</v>
      </c>
      <c r="EE3" s="71" t="s">
        <v>186</v>
      </c>
      <c r="EF3" s="71" t="s">
        <v>187</v>
      </c>
      <c r="EG3" s="71" t="s">
        <v>188</v>
      </c>
      <c r="EH3" s="71" t="s">
        <v>189</v>
      </c>
      <c r="EI3" s="71" t="s">
        <v>190</v>
      </c>
      <c r="EJ3" s="71" t="s">
        <v>191</v>
      </c>
      <c r="EK3" s="71" t="s">
        <v>192</v>
      </c>
      <c r="EL3" s="71" t="s">
        <v>193</v>
      </c>
      <c r="EM3" s="71" t="s">
        <v>194</v>
      </c>
      <c r="EN3" s="71" t="s">
        <v>195</v>
      </c>
      <c r="EO3" s="71" t="s">
        <v>196</v>
      </c>
      <c r="EP3" s="71" t="s">
        <v>197</v>
      </c>
      <c r="EQ3" s="71" t="s">
        <v>198</v>
      </c>
      <c r="ER3" s="71" t="s">
        <v>199</v>
      </c>
      <c r="ES3" s="71" t="s">
        <v>200</v>
      </c>
      <c r="ET3" s="71" t="s">
        <v>201</v>
      </c>
    </row>
    <row r="4" spans="1:150" x14ac:dyDescent="0.2">
      <c r="A4" s="80" t="s">
        <v>202</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3"/>
      <c r="BN4" s="83"/>
      <c r="BO4" s="83"/>
      <c r="BP4" s="83"/>
      <c r="BQ4" s="83"/>
      <c r="BR4" s="83"/>
      <c r="BS4" s="83"/>
      <c r="BT4" s="83"/>
      <c r="BU4" s="83"/>
      <c r="BV4" s="83"/>
      <c r="BW4" s="82"/>
    </row>
    <row r="5" spans="1:150" s="90" customFormat="1" x14ac:dyDescent="0.2">
      <c r="A5" s="82" t="s">
        <v>203</v>
      </c>
      <c r="B5" s="82">
        <v>35711.048999999999</v>
      </c>
      <c r="C5" s="82">
        <v>45238.909</v>
      </c>
      <c r="D5" s="84">
        <v>41370.872000000003</v>
      </c>
      <c r="E5" s="84">
        <v>56903.161999999997</v>
      </c>
      <c r="F5" s="84">
        <v>46502.781999999999</v>
      </c>
      <c r="G5" s="84">
        <v>43078.055999999997</v>
      </c>
      <c r="H5" s="84">
        <v>44753.561000000002</v>
      </c>
      <c r="I5" s="84">
        <v>24778.928</v>
      </c>
      <c r="J5" s="84">
        <v>26095.876</v>
      </c>
      <c r="K5" s="84">
        <v>31100.302</v>
      </c>
      <c r="L5" s="85">
        <v>24954.839</v>
      </c>
      <c r="M5" s="85">
        <v>47099.677000000003</v>
      </c>
      <c r="N5" s="85">
        <v>42413.821000000004</v>
      </c>
      <c r="O5" s="85">
        <v>51556.5</v>
      </c>
      <c r="P5" s="85">
        <v>41916.086000000003</v>
      </c>
      <c r="Q5" s="86">
        <v>40314.703000000001</v>
      </c>
      <c r="R5" s="86">
        <v>63960.542000000001</v>
      </c>
      <c r="S5" s="86">
        <v>69854.910999999993</v>
      </c>
      <c r="T5" s="86">
        <v>76670.05</v>
      </c>
      <c r="U5" s="86">
        <v>91929.547999999995</v>
      </c>
      <c r="V5" s="86">
        <v>89806.2</v>
      </c>
      <c r="W5" s="86">
        <v>106741.976</v>
      </c>
      <c r="X5" s="86">
        <v>72422.953999999998</v>
      </c>
      <c r="Y5" s="86">
        <v>106636.785</v>
      </c>
      <c r="Z5" s="86">
        <v>106322.958</v>
      </c>
      <c r="AA5" s="86">
        <v>95036.620999999999</v>
      </c>
      <c r="AB5" s="86">
        <v>96837.13</v>
      </c>
      <c r="AC5" s="86">
        <v>108904.192</v>
      </c>
      <c r="AD5" s="86">
        <v>111227.261</v>
      </c>
      <c r="AE5" s="86">
        <v>97724.964000000007</v>
      </c>
      <c r="AF5" s="86">
        <v>77119.149999999994</v>
      </c>
      <c r="AG5" s="86">
        <v>49726.834999999999</v>
      </c>
      <c r="AH5" s="86">
        <v>47382.222999999998</v>
      </c>
      <c r="AI5" s="86">
        <v>30957.217000000001</v>
      </c>
      <c r="AJ5" s="86">
        <v>43379.351999999999</v>
      </c>
      <c r="AK5" s="86">
        <v>99178.739000000001</v>
      </c>
      <c r="AL5" s="86">
        <v>92419.792000000001</v>
      </c>
      <c r="AM5" s="86">
        <v>104812.67</v>
      </c>
      <c r="AN5" s="86">
        <v>110067.06200000001</v>
      </c>
      <c r="AO5" s="86">
        <v>94185.414999999994</v>
      </c>
      <c r="AP5" s="86">
        <v>101245.452</v>
      </c>
      <c r="AQ5" s="86">
        <v>82255.373000000007</v>
      </c>
      <c r="AR5" s="86">
        <v>82124.77</v>
      </c>
      <c r="AS5" s="86">
        <v>102051.55</v>
      </c>
      <c r="AT5" s="86">
        <v>86972.076000000001</v>
      </c>
      <c r="AU5" s="86">
        <v>64536.654000000002</v>
      </c>
      <c r="AV5" s="86">
        <v>50518.873</v>
      </c>
      <c r="AW5" s="86">
        <v>88878.167000000001</v>
      </c>
      <c r="AX5" s="86">
        <v>103584.039</v>
      </c>
      <c r="AY5" s="86">
        <v>116544.178</v>
      </c>
      <c r="AZ5" s="86">
        <v>105903.784</v>
      </c>
      <c r="BA5" s="86">
        <v>103434.21</v>
      </c>
      <c r="BB5" s="86">
        <v>119373.035</v>
      </c>
      <c r="BC5" s="86">
        <v>91249.637000000002</v>
      </c>
      <c r="BD5" s="86">
        <v>92280.792000000001</v>
      </c>
      <c r="BE5" s="86">
        <v>82009.178</v>
      </c>
      <c r="BF5" s="86">
        <v>61854.851000000002</v>
      </c>
      <c r="BG5" s="86">
        <v>73134.801000000007</v>
      </c>
      <c r="BH5" s="86">
        <v>77974.62</v>
      </c>
      <c r="BI5" s="86">
        <v>77995.706999999995</v>
      </c>
      <c r="BJ5" s="86">
        <v>108867.179</v>
      </c>
      <c r="BK5" s="86">
        <v>96903.936000000002</v>
      </c>
      <c r="BL5" s="86">
        <v>100636.352</v>
      </c>
      <c r="BM5" s="86">
        <v>93200.186000000002</v>
      </c>
      <c r="BN5" s="86">
        <v>112673.247</v>
      </c>
      <c r="BO5" s="86">
        <v>90109.57</v>
      </c>
      <c r="BP5" s="86">
        <v>90660.014999999999</v>
      </c>
      <c r="BQ5" s="86">
        <v>90528.554999999993</v>
      </c>
      <c r="BR5" s="86">
        <v>79431.210999999996</v>
      </c>
      <c r="BS5" s="86">
        <v>89223.016000000003</v>
      </c>
      <c r="BT5" s="86">
        <v>86130.171000000002</v>
      </c>
      <c r="BU5" s="86">
        <v>99127.793000000005</v>
      </c>
      <c r="BV5" s="86">
        <v>112043.239</v>
      </c>
      <c r="BW5" s="87">
        <f>SUM(BK5:BV5)</f>
        <v>1140667.291</v>
      </c>
      <c r="BX5" s="88">
        <v>386672.15100000001</v>
      </c>
      <c r="BY5" s="88">
        <v>370351.30499999999</v>
      </c>
      <c r="BZ5" s="88">
        <v>370604.43</v>
      </c>
      <c r="CA5" s="88">
        <v>369325.91100000002</v>
      </c>
      <c r="CB5" s="88">
        <v>366206.696</v>
      </c>
      <c r="CC5" s="88">
        <v>386663.73</v>
      </c>
      <c r="CD5" s="88">
        <v>399533.64600000001</v>
      </c>
      <c r="CE5" s="88">
        <v>409415.70899999997</v>
      </c>
      <c r="CF5" s="88">
        <v>417516.00300000003</v>
      </c>
      <c r="CG5" s="88">
        <v>435654.174</v>
      </c>
      <c r="CH5" s="88">
        <v>431372.902</v>
      </c>
      <c r="CI5" s="88">
        <v>434393.15</v>
      </c>
      <c r="CJ5" s="88">
        <v>435611.266</v>
      </c>
      <c r="CK5" s="89">
        <v>424855.05599999998</v>
      </c>
      <c r="CL5" s="90">
        <v>426715.82400000002</v>
      </c>
      <c r="CM5" s="90">
        <v>427758.77299999999</v>
      </c>
      <c r="CN5" s="91">
        <v>422412.11099999998</v>
      </c>
      <c r="CO5" s="91">
        <v>417825.41499999998</v>
      </c>
      <c r="CP5" s="91">
        <v>418062.34899999999</v>
      </c>
      <c r="CQ5" s="92">
        <v>438944.83500000002</v>
      </c>
      <c r="CR5" s="92">
        <v>464046.185</v>
      </c>
      <c r="CS5" s="93">
        <v>515937.30699999997</v>
      </c>
      <c r="CT5" s="93">
        <v>581770.97900000005</v>
      </c>
      <c r="CU5" s="93">
        <v>640476.87699999998</v>
      </c>
      <c r="CV5" s="93">
        <v>722264.01399999997</v>
      </c>
      <c r="CW5" s="92">
        <v>747587.29099999997</v>
      </c>
      <c r="CX5" s="90">
        <v>811810.255</v>
      </c>
      <c r="CY5" s="94">
        <v>866576.71299999999</v>
      </c>
      <c r="CZ5" s="95">
        <v>919697.24800000002</v>
      </c>
      <c r="DA5" s="95">
        <v>976219.67500000005</v>
      </c>
      <c r="DB5" s="95">
        <v>1021163.325</v>
      </c>
      <c r="DC5" s="95">
        <v>1062535.675</v>
      </c>
      <c r="DD5" s="95">
        <v>1083590.5889999999</v>
      </c>
      <c r="DE5" s="95">
        <v>1068780.1910000001</v>
      </c>
      <c r="DF5" s="95">
        <v>1028700.826</v>
      </c>
      <c r="DG5" s="95">
        <v>969341.07299999997</v>
      </c>
      <c r="DH5" s="95">
        <v>927875.33600000001</v>
      </c>
      <c r="DI5" s="95">
        <v>864617.90300000005</v>
      </c>
      <c r="DJ5" s="95">
        <v>857473.68400000001</v>
      </c>
      <c r="DK5" s="95">
        <v>854856.85499999998</v>
      </c>
      <c r="DL5" s="95">
        <v>862832.39500000002</v>
      </c>
      <c r="DM5" s="95">
        <v>863995.26500000001</v>
      </c>
      <c r="DN5" s="95">
        <v>846953.41899999999</v>
      </c>
      <c r="DO5" s="95">
        <v>850473.90700000001</v>
      </c>
      <c r="DP5" s="95">
        <v>855610.13</v>
      </c>
      <c r="DQ5" s="95">
        <v>888008.06499999994</v>
      </c>
      <c r="DR5" s="95">
        <v>942677.39199999999</v>
      </c>
      <c r="DS5" s="95">
        <v>998692.25100000005</v>
      </c>
      <c r="DT5" s="95">
        <v>1019849.553</v>
      </c>
      <c r="DU5" s="95">
        <v>971189.68700000003</v>
      </c>
      <c r="DV5" s="95">
        <v>967648.06200000003</v>
      </c>
      <c r="DW5" s="96">
        <v>966419.43099999998</v>
      </c>
      <c r="DX5" s="97">
        <v>972896.54700000002</v>
      </c>
      <c r="DY5" s="97">
        <v>984614.91599999997</v>
      </c>
      <c r="DZ5" s="95">
        <v>986803.674</v>
      </c>
      <c r="EA5" s="95">
        <v>1023921.336</v>
      </c>
      <c r="EB5" s="94">
        <v>1033046.203</v>
      </c>
      <c r="EC5" s="94">
        <v>1023275.4449999999</v>
      </c>
      <c r="ED5" s="94">
        <v>1018312.547</v>
      </c>
      <c r="EE5" s="94">
        <v>1015630.7439999999</v>
      </c>
      <c r="EF5" s="94">
        <v>1038246.672</v>
      </c>
      <c r="EG5" s="94">
        <v>1027343.125</v>
      </c>
      <c r="EH5" s="94">
        <v>1001754.7929999999</v>
      </c>
      <c r="EI5" s="94">
        <v>994077.79399999999</v>
      </c>
      <c r="EJ5" s="94">
        <v>985077.946</v>
      </c>
      <c r="EK5" s="94">
        <v>982280.08799999999</v>
      </c>
      <c r="EL5" s="94">
        <v>956107.23899999994</v>
      </c>
      <c r="EM5" s="94">
        <v>977530.84900000005</v>
      </c>
      <c r="EN5" s="94">
        <v>975359.62699999998</v>
      </c>
      <c r="EO5" s="94">
        <v>984010.46400000004</v>
      </c>
      <c r="EP5" s="94">
        <v>1012684.1679999999</v>
      </c>
      <c r="EQ5" s="94">
        <v>1018980.578</v>
      </c>
      <c r="ER5" s="94">
        <v>1030228.974</v>
      </c>
      <c r="ES5" s="94">
        <v>1038363.438</v>
      </c>
      <c r="ET5" s="94">
        <v>1028624.052</v>
      </c>
    </row>
    <row r="6" spans="1:150" s="90" customFormat="1" x14ac:dyDescent="0.2">
      <c r="A6" s="82" t="s">
        <v>204</v>
      </c>
      <c r="B6" s="82">
        <v>-20525.362410000002</v>
      </c>
      <c r="C6" s="82">
        <v>-10352.523760000002</v>
      </c>
      <c r="D6" s="82">
        <v>-19038.194080000001</v>
      </c>
      <c r="E6" s="82">
        <v>30439.44025</v>
      </c>
      <c r="F6" s="82">
        <v>-36623.879870000004</v>
      </c>
      <c r="G6" s="82">
        <v>-21165.536170000003</v>
      </c>
      <c r="H6" s="82">
        <v>45816.55068</v>
      </c>
      <c r="I6" s="82">
        <v>-64589.550200000005</v>
      </c>
      <c r="J6" s="82">
        <v>-63687.085989999992</v>
      </c>
      <c r="K6" s="82">
        <v>-7928.6253400000014</v>
      </c>
      <c r="L6" s="83">
        <v>-20329.55385</v>
      </c>
      <c r="M6" s="83">
        <v>1716.0629499999993</v>
      </c>
      <c r="N6" s="83">
        <v>-33881.007319999997</v>
      </c>
      <c r="O6" s="83">
        <v>43825.343079999999</v>
      </c>
      <c r="P6" s="83">
        <v>44.229519999999553</v>
      </c>
      <c r="Q6" s="83">
        <v>28377.624889999999</v>
      </c>
      <c r="R6" s="83">
        <v>136924.36189000003</v>
      </c>
      <c r="S6" s="83">
        <v>167349.08747</v>
      </c>
      <c r="T6" s="83">
        <v>99723.668510000003</v>
      </c>
      <c r="U6" s="83">
        <v>167269.43188999998</v>
      </c>
      <c r="V6" s="83">
        <v>202291.61485000001</v>
      </c>
      <c r="W6" s="83">
        <v>168267.99761999998</v>
      </c>
      <c r="X6" s="83">
        <v>189864.65018999999</v>
      </c>
      <c r="Y6" s="83">
        <v>133445.0613</v>
      </c>
      <c r="Z6" s="83">
        <v>148629.44105000002</v>
      </c>
      <c r="AA6" s="83">
        <v>109067.01388</v>
      </c>
      <c r="AB6" s="83">
        <v>77479.095239999995</v>
      </c>
      <c r="AC6" s="83">
        <v>71568.043909999993</v>
      </c>
      <c r="AD6" s="83">
        <v>124143.09319</v>
      </c>
      <c r="AE6" s="83">
        <v>89434.715100000016</v>
      </c>
      <c r="AF6" s="83">
        <v>41361.115340000004</v>
      </c>
      <c r="AG6" s="83">
        <v>50826.347849999991</v>
      </c>
      <c r="AH6" s="83">
        <v>-5335.1019800000004</v>
      </c>
      <c r="AI6" s="83">
        <v>27801.966809999994</v>
      </c>
      <c r="AJ6" s="83">
        <v>97780.631549999991</v>
      </c>
      <c r="AK6" s="83">
        <v>108870.92155</v>
      </c>
      <c r="AL6" s="83">
        <v>101507.20105</v>
      </c>
      <c r="AM6" s="83">
        <v>103922.73337999999</v>
      </c>
      <c r="AN6" s="83">
        <v>118591.52856999999</v>
      </c>
      <c r="AO6" s="83">
        <v>94255.134279999998</v>
      </c>
      <c r="AP6" s="83">
        <v>96654.176590000003</v>
      </c>
      <c r="AQ6" s="83">
        <v>114916.92191</v>
      </c>
      <c r="AR6" s="83">
        <v>146950.69003</v>
      </c>
      <c r="AS6" s="83">
        <v>92561.377689999994</v>
      </c>
      <c r="AT6" s="83">
        <v>80391.972540000002</v>
      </c>
      <c r="AU6" s="83">
        <v>111992.80784000001</v>
      </c>
      <c r="AV6" s="83">
        <v>105042.44458999998</v>
      </c>
      <c r="AW6" s="83">
        <v>118858.53735</v>
      </c>
      <c r="AX6" s="83">
        <v>119537.90850999999</v>
      </c>
      <c r="AY6" s="83">
        <v>146989.53438</v>
      </c>
      <c r="AZ6" s="83">
        <v>152073.21773000003</v>
      </c>
      <c r="BA6" s="83">
        <v>160184.82850999999</v>
      </c>
      <c r="BB6" s="83">
        <v>202417.64331000001</v>
      </c>
      <c r="BC6" s="83">
        <v>167510.77527999997</v>
      </c>
      <c r="BD6" s="83">
        <v>170883.10321</v>
      </c>
      <c r="BE6" s="83">
        <v>176088.2653</v>
      </c>
      <c r="BF6" s="83">
        <v>114119.72812999999</v>
      </c>
      <c r="BG6" s="83">
        <v>142155.46558000002</v>
      </c>
      <c r="BH6" s="83">
        <v>131502.45139</v>
      </c>
      <c r="BI6" s="83">
        <v>152525.37820999997</v>
      </c>
      <c r="BJ6" s="83">
        <v>132640.59444999998</v>
      </c>
      <c r="BK6" s="83">
        <v>146263.43023999999</v>
      </c>
      <c r="BL6" s="98">
        <v>125090.99068</v>
      </c>
      <c r="BM6" s="98">
        <v>108984.07986</v>
      </c>
      <c r="BN6" s="83">
        <v>111818.44411</v>
      </c>
      <c r="BO6" s="83">
        <v>136263.94687000001</v>
      </c>
      <c r="BP6" s="83">
        <v>155142.01462</v>
      </c>
      <c r="BQ6" s="83">
        <v>161130.79102999999</v>
      </c>
      <c r="BR6" s="83">
        <v>139090.38547000001</v>
      </c>
      <c r="BS6" s="98">
        <v>180199.74382</v>
      </c>
      <c r="BT6" s="83">
        <v>163159.51284000001</v>
      </c>
      <c r="BU6" s="83">
        <v>156971.70937</v>
      </c>
      <c r="BV6" s="83">
        <v>197244.68096</v>
      </c>
      <c r="BW6" s="87">
        <f>SUM(BK6:BV6)</f>
        <v>1781359.7298700002</v>
      </c>
      <c r="BX6" s="88">
        <v>-92699.569659999994</v>
      </c>
      <c r="BY6" s="88">
        <v>-116340.93549</v>
      </c>
      <c r="BZ6" s="88">
        <v>-115463.87869</v>
      </c>
      <c r="CA6" s="88">
        <v>-156879.80205999999</v>
      </c>
      <c r="CB6" s="88">
        <v>-178123.50195000001</v>
      </c>
      <c r="CC6" s="88">
        <v>-78340.484729999996</v>
      </c>
      <c r="CD6" s="88">
        <v>-61383.740100000003</v>
      </c>
      <c r="CE6" s="88">
        <v>-119192.65879</v>
      </c>
      <c r="CF6" s="88">
        <v>-176466.24496000001</v>
      </c>
      <c r="CG6" s="88">
        <v>-132571.69032000002</v>
      </c>
      <c r="CH6" s="88">
        <v>-202218.89606</v>
      </c>
      <c r="CI6" s="88">
        <v>-221414.38208999997</v>
      </c>
      <c r="CJ6" s="88">
        <v>-231705.26524000001</v>
      </c>
      <c r="CK6" s="89">
        <v>-231509.45668</v>
      </c>
      <c r="CL6" s="90">
        <v>-219440.86997000003</v>
      </c>
      <c r="CM6" s="90">
        <v>-234283.68321000008</v>
      </c>
      <c r="CN6" s="91">
        <v>-220897.78038000001</v>
      </c>
      <c r="CO6" s="91">
        <v>-184229.67098999998</v>
      </c>
      <c r="CP6" s="91">
        <v>-91801.547749999998</v>
      </c>
      <c r="CQ6" s="92">
        <v>66288.350310000053</v>
      </c>
      <c r="CR6" s="92">
        <v>187820.88710000005</v>
      </c>
      <c r="CS6" s="93">
        <v>352134.10580999998</v>
      </c>
      <c r="CT6" s="93">
        <v>583090.62368999992</v>
      </c>
      <c r="CU6" s="93">
        <v>793310.86387999996</v>
      </c>
      <c r="CV6" s="93">
        <v>981908.41535000002</v>
      </c>
      <c r="CW6" s="92">
        <v>1170057.0025899999</v>
      </c>
      <c r="CX6" s="90">
        <v>1337383.07121</v>
      </c>
      <c r="CY6" s="94">
        <v>1442187.16918</v>
      </c>
      <c r="CZ6" s="95">
        <v>1551209.9535399997</v>
      </c>
      <c r="DA6" s="95">
        <v>1600311.42389</v>
      </c>
      <c r="DB6" s="95">
        <v>1534955.1059099999</v>
      </c>
      <c r="DC6" s="95">
        <v>1491749.1116299999</v>
      </c>
      <c r="DD6" s="95">
        <v>1481460.1582200001</v>
      </c>
      <c r="DE6" s="95">
        <v>1355551.8416699998</v>
      </c>
      <c r="DF6" s="95">
        <v>1204086.57467</v>
      </c>
      <c r="DG6" s="95">
        <v>1030483.4750699998</v>
      </c>
      <c r="DH6" s="95">
        <v>868420.7916900001</v>
      </c>
      <c r="DI6" s="95">
        <v>832756.36194000009</v>
      </c>
      <c r="DJ6" s="95">
        <v>792997.84243999992</v>
      </c>
      <c r="DK6" s="95">
        <v>785438.02960999985</v>
      </c>
      <c r="DL6" s="95">
        <v>811881.66775000002</v>
      </c>
      <c r="DM6" s="95">
        <v>858905.1524100001</v>
      </c>
      <c r="DN6" s="95">
        <v>829017.19350000005</v>
      </c>
      <c r="DO6" s="95">
        <v>836236.65498999995</v>
      </c>
      <c r="DP6" s="95">
        <v>909792.46155999997</v>
      </c>
      <c r="DQ6" s="95">
        <v>1005916.80374</v>
      </c>
      <c r="DR6" s="95">
        <v>1103813.2834099999</v>
      </c>
      <c r="DS6" s="95">
        <v>1156403.2891399998</v>
      </c>
      <c r="DT6" s="95">
        <v>1170615.4654300001</v>
      </c>
      <c r="DU6" s="95">
        <v>1166786.98847</v>
      </c>
      <c r="DV6" s="95">
        <v>1184138.3247700001</v>
      </c>
      <c r="DW6" s="96">
        <v>1199753.4998999999</v>
      </c>
      <c r="DX6" s="97">
        <v>1228151.5057099997</v>
      </c>
      <c r="DY6" s="97">
        <v>1285969.5891599997</v>
      </c>
      <c r="DZ6" s="95">
        <v>1349500.2410800001</v>
      </c>
      <c r="EA6" s="95">
        <v>1437000.96248</v>
      </c>
      <c r="EB6" s="94">
        <v>1457561.04773</v>
      </c>
      <c r="EC6" s="94">
        <v>1535882.7732500001</v>
      </c>
      <c r="ED6" s="94">
        <v>1631579.0660100002</v>
      </c>
      <c r="EE6" s="94">
        <v>1633705.9863</v>
      </c>
      <c r="EF6" s="94">
        <v>1670819.0072899999</v>
      </c>
      <c r="EG6" s="94">
        <v>1683462.9213299998</v>
      </c>
      <c r="EH6" s="94">
        <v>1716450.3910299998</v>
      </c>
      <c r="EI6" s="94">
        <v>1702101.4510999997</v>
      </c>
      <c r="EJ6" s="94">
        <v>1696291.6636099997</v>
      </c>
      <c r="EK6" s="94">
        <v>1661197.8257800001</v>
      </c>
      <c r="EL6" s="94">
        <v>1567764.2623299998</v>
      </c>
      <c r="EM6" s="94">
        <v>1512071.9311599999</v>
      </c>
      <c r="EN6" s="94">
        <v>1477452.7748199999</v>
      </c>
      <c r="EO6" s="94">
        <v>1456506.5241400001</v>
      </c>
      <c r="EP6" s="94">
        <v>1503517.5870399999</v>
      </c>
      <c r="EQ6" s="94">
        <v>1500452.5069299999</v>
      </c>
      <c r="ER6" s="94">
        <v>1549149.7993600001</v>
      </c>
      <c r="ES6" s="94">
        <v>1559783.9339899998</v>
      </c>
      <c r="ET6" s="94">
        <v>1584115.0489099997</v>
      </c>
    </row>
    <row r="7" spans="1:150" s="105" customFormat="1" ht="13.5" thickBot="1" x14ac:dyDescent="0.25">
      <c r="A7" s="99" t="s">
        <v>86</v>
      </c>
      <c r="B7" s="99">
        <v>26267.478429999999</v>
      </c>
      <c r="C7" s="99">
        <v>44775.178639999998</v>
      </c>
      <c r="D7" s="99">
        <v>38236.878130000005</v>
      </c>
      <c r="E7" s="99">
        <v>30173.21789</v>
      </c>
      <c r="F7" s="99">
        <v>34141.159089999994</v>
      </c>
      <c r="G7" s="99">
        <v>43392.02418</v>
      </c>
      <c r="H7" s="99">
        <v>83500.158200000005</v>
      </c>
      <c r="I7" s="99">
        <v>38603.429649999998</v>
      </c>
      <c r="J7" s="99">
        <v>79836.718510000006</v>
      </c>
      <c r="K7" s="99">
        <v>66796.934819999995</v>
      </c>
      <c r="L7" s="100">
        <v>30287.796900000001</v>
      </c>
      <c r="M7" s="100">
        <v>44067.945450000007</v>
      </c>
      <c r="N7" s="100">
        <v>49836.522029999993</v>
      </c>
      <c r="O7" s="100">
        <v>73949.438099999999</v>
      </c>
      <c r="P7" s="100">
        <v>-25490.615890000001</v>
      </c>
      <c r="Q7" s="100">
        <v>80238.974409999995</v>
      </c>
      <c r="R7" s="100">
        <v>134275.65682</v>
      </c>
      <c r="S7" s="100">
        <v>168848.98071999996</v>
      </c>
      <c r="T7" s="100">
        <v>152864.72891999999</v>
      </c>
      <c r="U7" s="100">
        <v>146727.63017000002</v>
      </c>
      <c r="V7" s="100">
        <v>174787.42668999999</v>
      </c>
      <c r="W7" s="100">
        <v>178402.39116000003</v>
      </c>
      <c r="X7" s="100">
        <v>168817.88058</v>
      </c>
      <c r="Y7" s="100">
        <v>142604.97320000001</v>
      </c>
      <c r="Z7" s="100">
        <v>197555.88049000001</v>
      </c>
      <c r="AA7" s="100">
        <v>186387.58228</v>
      </c>
      <c r="AB7" s="100">
        <v>177965.32901999998</v>
      </c>
      <c r="AC7" s="100">
        <v>121716.86694999998</v>
      </c>
      <c r="AD7" s="100">
        <v>215754.44101000001</v>
      </c>
      <c r="AE7" s="100">
        <v>183929.87112</v>
      </c>
      <c r="AF7" s="100">
        <v>154747.00244000001</v>
      </c>
      <c r="AG7" s="100">
        <v>181881.95504</v>
      </c>
      <c r="AH7" s="100">
        <v>56800.229200000002</v>
      </c>
      <c r="AI7" s="100">
        <v>98975.817590000006</v>
      </c>
      <c r="AJ7" s="100">
        <v>172498.66500000001</v>
      </c>
      <c r="AK7" s="100">
        <v>236109.20634</v>
      </c>
      <c r="AL7" s="100">
        <v>195499.53970000494</v>
      </c>
      <c r="AM7" s="100">
        <v>203657.57635999998</v>
      </c>
      <c r="AN7" s="100">
        <v>240416.05443000002</v>
      </c>
      <c r="AO7" s="100">
        <v>205005.84963999997</v>
      </c>
      <c r="AP7" s="100">
        <v>229813.35312000001</v>
      </c>
      <c r="AQ7" s="100">
        <v>243264.38944999999</v>
      </c>
      <c r="AR7" s="100">
        <v>269153.86191000004</v>
      </c>
      <c r="AS7" s="100">
        <v>228527.39556000003</v>
      </c>
      <c r="AT7" s="100">
        <v>224336.94528000007</v>
      </c>
      <c r="AU7" s="100">
        <v>249624.06164000003</v>
      </c>
      <c r="AV7" s="100">
        <v>235907.50973999998</v>
      </c>
      <c r="AW7" s="100">
        <v>249133.40805</v>
      </c>
      <c r="AX7" s="100">
        <v>227898.16841000004</v>
      </c>
      <c r="AY7" s="100">
        <v>276924.51109999995</v>
      </c>
      <c r="AZ7" s="100">
        <v>254370.62368999998</v>
      </c>
      <c r="BA7" s="100">
        <v>286356.63617999997</v>
      </c>
      <c r="BB7" s="100">
        <v>344724.87586999993</v>
      </c>
      <c r="BC7" s="100">
        <v>335968.55066000001</v>
      </c>
      <c r="BD7" s="100">
        <v>315047.60118</v>
      </c>
      <c r="BE7" s="100">
        <v>326738.90926000004</v>
      </c>
      <c r="BF7" s="100">
        <v>245683.02370999998</v>
      </c>
      <c r="BG7" s="100">
        <v>269344.91038000007</v>
      </c>
      <c r="BH7" s="100">
        <v>269635.24666</v>
      </c>
      <c r="BI7" s="100">
        <v>315070.80330999999</v>
      </c>
      <c r="BJ7" s="100">
        <v>333700.61885999999</v>
      </c>
      <c r="BK7" s="100">
        <v>219818.28419999999</v>
      </c>
      <c r="BL7" s="100">
        <v>380229.00338999997</v>
      </c>
      <c r="BM7" s="100">
        <v>328113.79796000005</v>
      </c>
      <c r="BN7" s="100">
        <v>330316.27604000003</v>
      </c>
      <c r="BO7" s="100">
        <v>388433.23540999991</v>
      </c>
      <c r="BP7" s="100">
        <v>411399.94410000002</v>
      </c>
      <c r="BQ7" s="101">
        <v>471738.73040999996</v>
      </c>
      <c r="BR7" s="100">
        <v>391059.03194999998</v>
      </c>
      <c r="BS7" s="100">
        <v>430483.12501999992</v>
      </c>
      <c r="BT7" s="100">
        <v>408069.47301000002</v>
      </c>
      <c r="BU7" s="100">
        <v>378077.10987000004</v>
      </c>
      <c r="BV7" s="100">
        <v>537711.27543000004</v>
      </c>
      <c r="BW7" s="87">
        <f>SUM(BK7:BV7)</f>
        <v>4675449.2867900003</v>
      </c>
      <c r="BX7" s="102">
        <v>364353.53461999999</v>
      </c>
      <c r="BY7" s="102">
        <v>335476.35162999999</v>
      </c>
      <c r="BZ7" s="102">
        <v>329794.97639000003</v>
      </c>
      <c r="CA7" s="102">
        <v>322254.15233000001</v>
      </c>
      <c r="CB7" s="102">
        <v>314189.17206999997</v>
      </c>
      <c r="CC7" s="102">
        <v>382811.92427000002</v>
      </c>
      <c r="CD7" s="102">
        <v>401830.37365999998</v>
      </c>
      <c r="CE7" s="102">
        <v>407447.16318999999</v>
      </c>
      <c r="CF7" s="102">
        <v>399383.52215999999</v>
      </c>
      <c r="CG7" s="102">
        <v>433333.77007000003</v>
      </c>
      <c r="CH7" s="103">
        <v>425405.87728000002</v>
      </c>
      <c r="CI7" s="103">
        <v>479906.00789000012</v>
      </c>
      <c r="CJ7" s="103">
        <v>522940.78075000009</v>
      </c>
      <c r="CK7" s="104">
        <v>526961.09922000009</v>
      </c>
      <c r="CL7" s="105">
        <v>526253.86603000003</v>
      </c>
      <c r="CM7" s="105">
        <v>537853.50993000006</v>
      </c>
      <c r="CN7" s="106">
        <v>581629.73014000023</v>
      </c>
      <c r="CO7" s="106">
        <v>521997.95516000007</v>
      </c>
      <c r="CP7" s="106">
        <v>565019.32636000018</v>
      </c>
      <c r="CQ7" s="106">
        <v>655902.95900000015</v>
      </c>
      <c r="CR7" s="107">
        <v>741251.78151999996</v>
      </c>
      <c r="CS7" s="108">
        <v>855513.08079000004</v>
      </c>
      <c r="CT7" s="108">
        <v>922403.99244999979</v>
      </c>
      <c r="CU7" s="108">
        <v>1030394.4843199997</v>
      </c>
      <c r="CV7" s="108">
        <v>1178509.0785799997</v>
      </c>
      <c r="CW7" s="107">
        <v>1303259.0137100001</v>
      </c>
      <c r="CX7" s="105">
        <v>1396027.4648799999</v>
      </c>
      <c r="CY7" s="109">
        <v>1519633.9072699999</v>
      </c>
      <c r="CZ7" s="110">
        <v>1731512.1054399998</v>
      </c>
      <c r="DA7" s="110">
        <v>1829238.4600499996</v>
      </c>
      <c r="DB7" s="110">
        <v>1816679.6701799999</v>
      </c>
      <c r="DC7" s="110">
        <v>1863585.1304699997</v>
      </c>
      <c r="DD7" s="110">
        <v>1894650.2726700001</v>
      </c>
      <c r="DE7" s="110">
        <v>1902669.64494</v>
      </c>
      <c r="DF7" s="110">
        <v>1909764.1732900001</v>
      </c>
      <c r="DG7" s="110">
        <v>1788162.0113299999</v>
      </c>
      <c r="DH7" s="110">
        <v>1718319.9483399997</v>
      </c>
      <c r="DI7" s="110">
        <v>1748213.6401399998</v>
      </c>
      <c r="DJ7" s="110">
        <v>1786766.9659899997</v>
      </c>
      <c r="DK7" s="110">
        <v>1795878.9234100049</v>
      </c>
      <c r="DL7" s="110">
        <v>1821571.1707500049</v>
      </c>
      <c r="DM7" s="110">
        <v>1940270.358230005</v>
      </c>
      <c r="DN7" s="110">
        <v>1929521.766860005</v>
      </c>
      <c r="DO7" s="110">
        <v>1975405.2488600053</v>
      </c>
      <c r="DP7" s="110">
        <v>2063922.6358700055</v>
      </c>
      <c r="DQ7" s="110">
        <v>2151194.5427400051</v>
      </c>
      <c r="DR7" s="110">
        <v>2322921.7091000052</v>
      </c>
      <c r="DS7" s="110">
        <v>2448282.8367900047</v>
      </c>
      <c r="DT7" s="110">
        <v>2525408.2334300042</v>
      </c>
      <c r="DU7" s="110">
        <v>2525206.5368300043</v>
      </c>
      <c r="DV7" s="110">
        <v>2578840.4051800002</v>
      </c>
      <c r="DW7" s="111">
        <v>2603080.9972300008</v>
      </c>
      <c r="DX7" s="112">
        <v>2639589.4539000005</v>
      </c>
      <c r="DY7" s="112">
        <v>2688954.2279500002</v>
      </c>
      <c r="DZ7" s="110">
        <v>2745497.5110100005</v>
      </c>
      <c r="EA7" s="95">
        <v>2846957.9974299995</v>
      </c>
      <c r="EB7" s="109">
        <v>2913772.6861799988</v>
      </c>
      <c r="EC7" s="109">
        <v>3000292.8917999994</v>
      </c>
      <c r="ED7" s="109">
        <v>3102694.8557799994</v>
      </c>
      <c r="EE7" s="109">
        <v>3098753.8178499993</v>
      </c>
      <c r="EF7" s="109">
        <v>3132191.218489999</v>
      </c>
      <c r="EG7" s="109">
        <v>3152693.0571000003</v>
      </c>
      <c r="EH7" s="109">
        <v>3239865.6919999993</v>
      </c>
      <c r="EI7" s="109">
        <v>3296641.7997599998</v>
      </c>
      <c r="EJ7" s="109">
        <v>3262089.4602700006</v>
      </c>
      <c r="EK7" s="109">
        <v>3355961.82748</v>
      </c>
      <c r="EL7" s="109">
        <v>3339350.7495699991</v>
      </c>
      <c r="EM7" s="109">
        <v>3333698.4749499983</v>
      </c>
      <c r="EN7" s="109">
        <v>3407084.1091800001</v>
      </c>
      <c r="EO7" s="109">
        <v>3491745.1440200005</v>
      </c>
      <c r="EP7" s="109">
        <v>3717800.8507200009</v>
      </c>
      <c r="EQ7" s="109">
        <v>3839514.9722899999</v>
      </c>
      <c r="ER7" s="109">
        <v>4000362.850649999</v>
      </c>
      <c r="ES7" s="109">
        <v>4093361.5203499994</v>
      </c>
      <c r="ET7" s="109">
        <v>4137738.011359999</v>
      </c>
    </row>
    <row r="8" spans="1:150" s="123" customFormat="1" ht="13.5" thickBot="1" x14ac:dyDescent="0.25">
      <c r="A8" s="113" t="s">
        <v>205</v>
      </c>
      <c r="B8" s="114">
        <f t="shared" ref="B8:AG8" si="0">SUM(B5:B7)</f>
        <v>41453.16502</v>
      </c>
      <c r="C8" s="114">
        <f t="shared" si="0"/>
        <v>79661.563880000002</v>
      </c>
      <c r="D8" s="114">
        <f t="shared" si="0"/>
        <v>60569.556050000007</v>
      </c>
      <c r="E8" s="114">
        <f t="shared" si="0"/>
        <v>117515.82014</v>
      </c>
      <c r="F8" s="114">
        <f t="shared" si="0"/>
        <v>44020.061219999989</v>
      </c>
      <c r="G8" s="114">
        <f t="shared" si="0"/>
        <v>65304.544009999998</v>
      </c>
      <c r="H8" s="114">
        <f t="shared" si="0"/>
        <v>174070.26988000001</v>
      </c>
      <c r="I8" s="114">
        <f t="shared" si="0"/>
        <v>-1207.192550000007</v>
      </c>
      <c r="J8" s="114">
        <f t="shared" si="0"/>
        <v>42245.508520000018</v>
      </c>
      <c r="K8" s="114">
        <f t="shared" si="0"/>
        <v>89968.611479999992</v>
      </c>
      <c r="L8" s="115">
        <f t="shared" si="0"/>
        <v>34913.082049999997</v>
      </c>
      <c r="M8" s="115">
        <f t="shared" si="0"/>
        <v>92883.685400000017</v>
      </c>
      <c r="N8" s="115">
        <f t="shared" si="0"/>
        <v>58369.335709999999</v>
      </c>
      <c r="O8" s="115">
        <f t="shared" si="0"/>
        <v>169331.28117999999</v>
      </c>
      <c r="P8" s="115">
        <f t="shared" si="0"/>
        <v>16469.699630000003</v>
      </c>
      <c r="Q8" s="116">
        <f t="shared" si="0"/>
        <v>148931.30229999998</v>
      </c>
      <c r="R8" s="117">
        <f t="shared" si="0"/>
        <v>335160.56070999999</v>
      </c>
      <c r="S8" s="117">
        <f t="shared" si="0"/>
        <v>406052.97918999998</v>
      </c>
      <c r="T8" s="117">
        <f t="shared" si="0"/>
        <v>329258.44743</v>
      </c>
      <c r="U8" s="117">
        <f t="shared" si="0"/>
        <v>405926.61005999998</v>
      </c>
      <c r="V8" s="117">
        <f t="shared" si="0"/>
        <v>466885.24154000002</v>
      </c>
      <c r="W8" s="117">
        <f t="shared" si="0"/>
        <v>453412.36477999995</v>
      </c>
      <c r="X8" s="117">
        <f t="shared" si="0"/>
        <v>431105.48476999998</v>
      </c>
      <c r="Y8" s="117">
        <f t="shared" si="0"/>
        <v>382686.81949999998</v>
      </c>
      <c r="Z8" s="117">
        <f t="shared" si="0"/>
        <v>452508.27954000002</v>
      </c>
      <c r="AA8" s="117">
        <f t="shared" si="0"/>
        <v>390491.21716</v>
      </c>
      <c r="AB8" s="117">
        <f t="shared" si="0"/>
        <v>352281.55426</v>
      </c>
      <c r="AC8" s="117">
        <f t="shared" si="0"/>
        <v>302189.10285999998</v>
      </c>
      <c r="AD8" s="117">
        <f t="shared" si="0"/>
        <v>451124.79519999999</v>
      </c>
      <c r="AE8" s="117">
        <f t="shared" si="0"/>
        <v>371089.55021999998</v>
      </c>
      <c r="AF8" s="117">
        <f t="shared" si="0"/>
        <v>273227.26777999999</v>
      </c>
      <c r="AG8" s="118">
        <f t="shared" si="0"/>
        <v>282435.13789000001</v>
      </c>
      <c r="AH8" s="118">
        <f t="shared" ref="AH8:BS8" si="1">AH7+AH6+AH5</f>
        <v>98847.350219999993</v>
      </c>
      <c r="AI8" s="118">
        <f t="shared" si="1"/>
        <v>157735.00140000001</v>
      </c>
      <c r="AJ8" s="118">
        <f t="shared" si="1"/>
        <v>313658.64854999998</v>
      </c>
      <c r="AK8" s="118">
        <f t="shared" si="1"/>
        <v>444158.86689</v>
      </c>
      <c r="AL8" s="118">
        <f t="shared" si="1"/>
        <v>389426.53275000496</v>
      </c>
      <c r="AM8" s="118">
        <f t="shared" si="1"/>
        <v>412392.97973999992</v>
      </c>
      <c r="AN8" s="118">
        <f t="shared" si="1"/>
        <v>469074.64500000002</v>
      </c>
      <c r="AO8" s="118">
        <f t="shared" si="1"/>
        <v>393446.39891999995</v>
      </c>
      <c r="AP8" s="118">
        <f t="shared" si="1"/>
        <v>427712.98171000002</v>
      </c>
      <c r="AQ8" s="118">
        <f t="shared" si="1"/>
        <v>440436.68436000001</v>
      </c>
      <c r="AR8" s="118">
        <f t="shared" si="1"/>
        <v>498229.32194000005</v>
      </c>
      <c r="AS8" s="118">
        <f t="shared" si="1"/>
        <v>423140.32325000002</v>
      </c>
      <c r="AT8" s="118">
        <f t="shared" si="1"/>
        <v>391700.99382000009</v>
      </c>
      <c r="AU8" s="118">
        <f t="shared" si="1"/>
        <v>426153.52348000003</v>
      </c>
      <c r="AV8" s="118">
        <f t="shared" si="1"/>
        <v>391468.82733</v>
      </c>
      <c r="AW8" s="118">
        <f t="shared" si="1"/>
        <v>456870.11239999998</v>
      </c>
      <c r="AX8" s="118">
        <f t="shared" si="1"/>
        <v>451020.11592000001</v>
      </c>
      <c r="AY8" s="118">
        <f t="shared" si="1"/>
        <v>540458.22347999993</v>
      </c>
      <c r="AZ8" s="118">
        <f t="shared" si="1"/>
        <v>512347.62542</v>
      </c>
      <c r="BA8" s="118">
        <f t="shared" si="1"/>
        <v>549975.6746899999</v>
      </c>
      <c r="BB8" s="118">
        <f t="shared" si="1"/>
        <v>666515.55417999998</v>
      </c>
      <c r="BC8" s="118">
        <f t="shared" si="1"/>
        <v>594728.96294</v>
      </c>
      <c r="BD8" s="118">
        <f t="shared" si="1"/>
        <v>578211.49638999999</v>
      </c>
      <c r="BE8" s="118">
        <f t="shared" si="1"/>
        <v>584836.35256000003</v>
      </c>
      <c r="BF8" s="118">
        <f t="shared" si="1"/>
        <v>421657.60284000001</v>
      </c>
      <c r="BG8" s="118">
        <f t="shared" si="1"/>
        <v>484635.17696000007</v>
      </c>
      <c r="BH8" s="118">
        <f t="shared" si="1"/>
        <v>479112.31805</v>
      </c>
      <c r="BI8" s="118">
        <f t="shared" si="1"/>
        <v>545591.88852000004</v>
      </c>
      <c r="BJ8" s="118">
        <f t="shared" si="1"/>
        <v>575208.39231000002</v>
      </c>
      <c r="BK8" s="118">
        <f t="shared" si="1"/>
        <v>462985.65044</v>
      </c>
      <c r="BL8" s="118">
        <f t="shared" si="1"/>
        <v>605956.34606999997</v>
      </c>
      <c r="BM8" s="118">
        <f t="shared" si="1"/>
        <v>530298.06382000004</v>
      </c>
      <c r="BN8" s="118">
        <f t="shared" si="1"/>
        <v>554807.96715000004</v>
      </c>
      <c r="BO8" s="118">
        <f t="shared" si="1"/>
        <v>614806.7522799999</v>
      </c>
      <c r="BP8" s="118">
        <f t="shared" si="1"/>
        <v>657201.97372000001</v>
      </c>
      <c r="BQ8" s="118">
        <f t="shared" si="1"/>
        <v>723398.07643999998</v>
      </c>
      <c r="BR8" s="118">
        <f t="shared" si="1"/>
        <v>609580.62841999996</v>
      </c>
      <c r="BS8" s="118">
        <f t="shared" si="1"/>
        <v>699905.88483999996</v>
      </c>
      <c r="BT8" s="119">
        <f>BT7+BT6+BT5</f>
        <v>657359.15685000003</v>
      </c>
      <c r="BU8" s="119">
        <f>BU7+BU6+BU5</f>
        <v>634176.61224000016</v>
      </c>
      <c r="BV8" s="119">
        <f>BV7+BV6+BV5</f>
        <v>846999.19539000001</v>
      </c>
      <c r="BW8" s="120">
        <f>BW7+BW6+BW5</f>
        <v>7597476.3076600004</v>
      </c>
      <c r="BX8" s="121">
        <f t="shared" ref="BX8:DV8" si="2">SUM(BX5:BX7)</f>
        <v>658326.11596000008</v>
      </c>
      <c r="BY8" s="121">
        <f t="shared" si="2"/>
        <v>589486.72114000004</v>
      </c>
      <c r="BZ8" s="121">
        <f t="shared" si="2"/>
        <v>584935.52769999998</v>
      </c>
      <c r="CA8" s="121">
        <f t="shared" si="2"/>
        <v>534700.26127000002</v>
      </c>
      <c r="CB8" s="121">
        <f t="shared" si="2"/>
        <v>502272.36611999996</v>
      </c>
      <c r="CC8" s="121">
        <f t="shared" si="2"/>
        <v>691135.16953999992</v>
      </c>
      <c r="CD8" s="121">
        <f t="shared" si="2"/>
        <v>739980.27955999994</v>
      </c>
      <c r="CE8" s="121">
        <f t="shared" si="2"/>
        <v>697670.21340000001</v>
      </c>
      <c r="CF8" s="121">
        <f t="shared" si="2"/>
        <v>640433.28020000004</v>
      </c>
      <c r="CG8" s="121">
        <f t="shared" si="2"/>
        <v>736416.25374999992</v>
      </c>
      <c r="CH8" s="121">
        <f t="shared" si="2"/>
        <v>654559.88321999996</v>
      </c>
      <c r="CI8" s="121">
        <f t="shared" si="2"/>
        <v>692884.77580000018</v>
      </c>
      <c r="CJ8" s="121">
        <f t="shared" si="2"/>
        <v>726846.78151000012</v>
      </c>
      <c r="CK8" s="122">
        <f t="shared" si="2"/>
        <v>720306.69854000001</v>
      </c>
      <c r="CL8" s="123">
        <f t="shared" si="2"/>
        <v>733528.82006000006</v>
      </c>
      <c r="CM8" s="123">
        <f t="shared" si="2"/>
        <v>731328.59971999994</v>
      </c>
      <c r="CN8" s="124">
        <f t="shared" si="2"/>
        <v>783144.06076000025</v>
      </c>
      <c r="CO8" s="124">
        <f t="shared" si="2"/>
        <v>755593.69917000004</v>
      </c>
      <c r="CP8" s="124">
        <f t="shared" si="2"/>
        <v>891280.1276100002</v>
      </c>
      <c r="CQ8" s="124">
        <f t="shared" si="2"/>
        <v>1161136.1443100004</v>
      </c>
      <c r="CR8" s="125">
        <f t="shared" si="2"/>
        <v>1393118.85362</v>
      </c>
      <c r="CS8" s="126">
        <f t="shared" si="2"/>
        <v>1723584.4935999999</v>
      </c>
      <c r="CT8" s="126">
        <f t="shared" si="2"/>
        <v>2087265.5951399999</v>
      </c>
      <c r="CU8" s="126">
        <f t="shared" si="2"/>
        <v>2464182.2251999998</v>
      </c>
      <c r="CV8" s="126">
        <f t="shared" si="2"/>
        <v>2882681.5079299994</v>
      </c>
      <c r="CW8" s="125">
        <f t="shared" si="2"/>
        <v>3220903.3073</v>
      </c>
      <c r="CX8" s="123">
        <f t="shared" si="2"/>
        <v>3545220.79109</v>
      </c>
      <c r="CY8" s="127">
        <f t="shared" si="2"/>
        <v>3828397.7894499996</v>
      </c>
      <c r="CZ8" s="127">
        <f t="shared" si="2"/>
        <v>4202419.3069799999</v>
      </c>
      <c r="DA8" s="127">
        <f t="shared" si="2"/>
        <v>4405769.5589399999</v>
      </c>
      <c r="DB8" s="127">
        <f t="shared" si="2"/>
        <v>4372798.1010899991</v>
      </c>
      <c r="DC8" s="127">
        <f t="shared" si="2"/>
        <v>4417869.9170999993</v>
      </c>
      <c r="DD8" s="127">
        <f t="shared" si="2"/>
        <v>4459701.0198900001</v>
      </c>
      <c r="DE8" s="127">
        <f t="shared" si="2"/>
        <v>4327001.6776099997</v>
      </c>
      <c r="DF8" s="127">
        <f t="shared" si="2"/>
        <v>4142551.5739599997</v>
      </c>
      <c r="DG8" s="127">
        <f t="shared" si="2"/>
        <v>3787986.5593999997</v>
      </c>
      <c r="DH8" s="127">
        <f t="shared" si="2"/>
        <v>3514616.0760299996</v>
      </c>
      <c r="DI8" s="127">
        <f t="shared" si="2"/>
        <v>3445587.9050799999</v>
      </c>
      <c r="DJ8" s="127">
        <f t="shared" si="2"/>
        <v>3437238.4924299996</v>
      </c>
      <c r="DK8" s="127">
        <f t="shared" si="2"/>
        <v>3436173.808020005</v>
      </c>
      <c r="DL8" s="127">
        <f t="shared" si="2"/>
        <v>3496285.2335000047</v>
      </c>
      <c r="DM8" s="127">
        <f t="shared" si="2"/>
        <v>3663170.7756400052</v>
      </c>
      <c r="DN8" s="127">
        <f t="shared" si="2"/>
        <v>3605492.3793600053</v>
      </c>
      <c r="DO8" s="127">
        <f t="shared" si="2"/>
        <v>3662115.8108500051</v>
      </c>
      <c r="DP8" s="127">
        <f t="shared" si="2"/>
        <v>3829325.2274300056</v>
      </c>
      <c r="DQ8" s="127">
        <f t="shared" si="2"/>
        <v>4045119.4114800049</v>
      </c>
      <c r="DR8" s="127">
        <f t="shared" si="2"/>
        <v>4369412.3845100049</v>
      </c>
      <c r="DS8" s="127">
        <f t="shared" si="2"/>
        <v>4603378.376930004</v>
      </c>
      <c r="DT8" s="127">
        <f t="shared" si="2"/>
        <v>4715873.2518600039</v>
      </c>
      <c r="DU8" s="127">
        <f t="shared" si="2"/>
        <v>4663183.2123000044</v>
      </c>
      <c r="DV8" s="127">
        <f t="shared" si="2"/>
        <v>4730626.7919500005</v>
      </c>
      <c r="DW8" s="128">
        <f t="shared" ref="DW8:EO8" si="3">SUM(DW5:DW7)</f>
        <v>4769253.9281300008</v>
      </c>
      <c r="DX8" s="129">
        <f t="shared" si="3"/>
        <v>4840637.5066100005</v>
      </c>
      <c r="DY8" s="129">
        <f t="shared" si="3"/>
        <v>4959538.7331099994</v>
      </c>
      <c r="DZ8" s="129">
        <f t="shared" si="3"/>
        <v>5081801.4260900002</v>
      </c>
      <c r="EA8" s="129">
        <f t="shared" si="3"/>
        <v>5307880.2959099989</v>
      </c>
      <c r="EB8" s="127">
        <f t="shared" si="3"/>
        <v>5404379.9369099988</v>
      </c>
      <c r="EC8" s="127">
        <f t="shared" si="3"/>
        <v>5559451.1100499993</v>
      </c>
      <c r="ED8" s="127">
        <f t="shared" si="3"/>
        <v>5752586.4687900003</v>
      </c>
      <c r="EE8" s="127">
        <f t="shared" si="3"/>
        <v>5748090.5481499992</v>
      </c>
      <c r="EF8" s="127">
        <f t="shared" si="3"/>
        <v>5841256.8977799993</v>
      </c>
      <c r="EG8" s="127">
        <f t="shared" si="3"/>
        <v>5863499.1034300001</v>
      </c>
      <c r="EH8" s="127">
        <f t="shared" si="3"/>
        <v>5958070.876029999</v>
      </c>
      <c r="EI8" s="127">
        <f t="shared" si="3"/>
        <v>5992821.0448599998</v>
      </c>
      <c r="EJ8" s="127">
        <f t="shared" si="3"/>
        <v>5943459.0698800003</v>
      </c>
      <c r="EK8" s="127">
        <f t="shared" si="3"/>
        <v>5999439.7412599996</v>
      </c>
      <c r="EL8" s="127">
        <f t="shared" si="3"/>
        <v>5863222.2508999985</v>
      </c>
      <c r="EM8" s="127">
        <f t="shared" si="3"/>
        <v>5823301.2551099984</v>
      </c>
      <c r="EN8" s="127">
        <f t="shared" si="3"/>
        <v>5859896.5109999999</v>
      </c>
      <c r="EO8" s="127">
        <f t="shared" si="3"/>
        <v>5932262.1321600005</v>
      </c>
      <c r="EP8" s="127">
        <f>SUM(EP5:EP7)</f>
        <v>6234002.6057600006</v>
      </c>
      <c r="EQ8" s="127">
        <f>SUM(EQ5:EQ7)</f>
        <v>6358948.0572199998</v>
      </c>
      <c r="ER8" s="127">
        <f>SUM(ER5:ER7)</f>
        <v>6579741.6240099985</v>
      </c>
      <c r="ES8" s="127">
        <f>SUM(ES5:ES7)</f>
        <v>6691508.8923399989</v>
      </c>
      <c r="ET8" s="127">
        <f>SUM(ET5:ET7)</f>
        <v>6750477.1122699985</v>
      </c>
    </row>
    <row r="9" spans="1:150" s="90" customFormat="1" ht="12" customHeight="1" x14ac:dyDescent="0.2">
      <c r="A9" s="130"/>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CQ9" s="92"/>
      <c r="CR9" s="92"/>
      <c r="CS9" s="93"/>
      <c r="CT9" s="93"/>
      <c r="CU9" s="93"/>
      <c r="CV9" s="93"/>
      <c r="CY9" s="94"/>
      <c r="DK9" s="132"/>
      <c r="DL9" s="132"/>
      <c r="DW9" s="96"/>
      <c r="DX9" s="97"/>
      <c r="DY9" s="97"/>
      <c r="EB9" s="94"/>
      <c r="EC9" s="94"/>
      <c r="ED9" s="94"/>
      <c r="EE9" s="94"/>
      <c r="EF9" s="94"/>
    </row>
    <row r="10" spans="1:150" s="90" customFormat="1" ht="13.5" thickBot="1" x14ac:dyDescent="0.25">
      <c r="A10" s="133" t="s">
        <v>206</v>
      </c>
      <c r="B10" s="134">
        <v>51.2</v>
      </c>
      <c r="C10" s="134">
        <v>48.5</v>
      </c>
      <c r="D10" s="134">
        <v>51.8</v>
      </c>
      <c r="E10" s="134">
        <v>42.46</v>
      </c>
      <c r="F10" s="134">
        <v>54.35</v>
      </c>
      <c r="G10" s="134">
        <v>51.42</v>
      </c>
      <c r="H10" s="134">
        <v>36.51</v>
      </c>
      <c r="I10" s="134">
        <v>62.29</v>
      </c>
      <c r="J10" s="134">
        <v>62.26</v>
      </c>
      <c r="K10" s="134">
        <v>50.01</v>
      </c>
      <c r="L10" s="134">
        <v>52.28</v>
      </c>
      <c r="M10" s="135">
        <v>47.07</v>
      </c>
      <c r="N10" s="135">
        <v>53.63</v>
      </c>
      <c r="O10" s="136">
        <v>48.34</v>
      </c>
      <c r="P10" s="137">
        <v>54.77</v>
      </c>
      <c r="Q10" s="138">
        <v>48.6</v>
      </c>
      <c r="R10" s="139">
        <v>30.64</v>
      </c>
      <c r="S10" s="139">
        <v>19.63</v>
      </c>
      <c r="T10" s="139">
        <v>29.14</v>
      </c>
      <c r="U10" s="139">
        <v>24.83</v>
      </c>
      <c r="V10" s="139">
        <v>20.09</v>
      </c>
      <c r="W10" s="140">
        <v>28.44</v>
      </c>
      <c r="X10" s="140">
        <v>22.1</v>
      </c>
      <c r="Y10" s="140">
        <v>30.33</v>
      </c>
      <c r="Z10" s="140">
        <v>27.59</v>
      </c>
      <c r="AA10" s="140">
        <v>35.979999999999997</v>
      </c>
      <c r="AB10" s="140">
        <v>38.25</v>
      </c>
      <c r="AC10" s="140">
        <v>36.43</v>
      </c>
      <c r="AD10" s="140">
        <v>28.76</v>
      </c>
      <c r="AE10" s="140">
        <v>31.71</v>
      </c>
      <c r="AF10" s="140">
        <v>40.39</v>
      </c>
      <c r="AG10" s="140">
        <v>41.58</v>
      </c>
      <c r="AH10" s="140">
        <v>54.29</v>
      </c>
      <c r="AI10" s="140">
        <v>46.75</v>
      </c>
      <c r="AJ10" s="140">
        <v>34.299999999999997</v>
      </c>
      <c r="AK10" s="140">
        <v>30.18</v>
      </c>
      <c r="AL10" s="140">
        <v>32.47</v>
      </c>
      <c r="AM10" s="140">
        <v>34.76</v>
      </c>
      <c r="AN10" s="140">
        <v>32.99</v>
      </c>
      <c r="AO10" s="140">
        <v>33.68</v>
      </c>
      <c r="AP10" s="140">
        <v>31.62</v>
      </c>
      <c r="AQ10" s="140">
        <v>29.71</v>
      </c>
      <c r="AR10" s="141">
        <v>25.89</v>
      </c>
      <c r="AS10" s="141">
        <v>34.549999999999997</v>
      </c>
      <c r="AT10" s="141">
        <v>37.08</v>
      </c>
      <c r="AU10" s="141">
        <v>34.51</v>
      </c>
      <c r="AV10" s="141">
        <v>31.88</v>
      </c>
      <c r="AW10" s="141">
        <v>29.38</v>
      </c>
      <c r="AX10" s="141">
        <v>28.76</v>
      </c>
      <c r="AY10" s="141">
        <v>25.79</v>
      </c>
      <c r="AZ10" s="141">
        <v>25.55</v>
      </c>
      <c r="BA10" s="141">
        <v>22.32</v>
      </c>
      <c r="BB10" s="141">
        <v>15.45</v>
      </c>
      <c r="BC10" s="141">
        <v>17.18</v>
      </c>
      <c r="BD10" s="141">
        <v>20.11</v>
      </c>
      <c r="BE10" s="141">
        <v>21.94</v>
      </c>
      <c r="BF10" s="141">
        <v>33.65</v>
      </c>
      <c r="BG10" s="141">
        <v>29.31</v>
      </c>
      <c r="BH10" s="141">
        <v>26.12</v>
      </c>
      <c r="BI10" s="141">
        <v>22.41</v>
      </c>
      <c r="BJ10" s="141">
        <v>26.64</v>
      </c>
      <c r="BK10" s="141">
        <v>25.51</v>
      </c>
      <c r="BL10" s="142">
        <v>31.59</v>
      </c>
      <c r="BM10" s="142">
        <v>29.31</v>
      </c>
      <c r="BN10" s="142">
        <v>29.26</v>
      </c>
      <c r="BO10" s="142">
        <v>28.86</v>
      </c>
      <c r="BP10" s="142">
        <v>25.38</v>
      </c>
      <c r="BQ10" s="143">
        <v>23.77</v>
      </c>
      <c r="BR10" s="143">
        <v>31.6</v>
      </c>
      <c r="BS10" s="143">
        <v>23.75</v>
      </c>
      <c r="BT10" s="143">
        <v>22.26</v>
      </c>
      <c r="BU10" s="143">
        <v>26.98</v>
      </c>
      <c r="BV10" s="143"/>
      <c r="BW10" s="141"/>
      <c r="CQ10" s="92"/>
      <c r="CR10" s="144" t="s">
        <v>207</v>
      </c>
      <c r="CS10" s="145">
        <v>-1723584.4939999999</v>
      </c>
      <c r="CT10" s="146">
        <v>-2087265.5955399999</v>
      </c>
      <c r="CU10" s="146">
        <v>-2464182.2256</v>
      </c>
      <c r="CV10" s="146">
        <v>-2882681.5083299996</v>
      </c>
      <c r="CW10" s="147">
        <v>-3220903.3076999998</v>
      </c>
      <c r="CX10" s="90">
        <v>-3545220.7914899997</v>
      </c>
      <c r="CY10" s="90">
        <v>-3828397.7897499995</v>
      </c>
      <c r="CZ10" s="95">
        <v>-4202419.3072799994</v>
      </c>
      <c r="DA10" s="95">
        <v>-4405769.5592399994</v>
      </c>
      <c r="DB10" s="95">
        <v>-4372798.10109</v>
      </c>
      <c r="DC10" s="95">
        <v>-4417869.9170999993</v>
      </c>
      <c r="DD10" s="95">
        <v>-4459701.0198899992</v>
      </c>
      <c r="DE10" s="95">
        <v>-4327001.6776099997</v>
      </c>
      <c r="DF10" s="95">
        <v>-4142551.5739600002</v>
      </c>
      <c r="DG10" s="95">
        <v>-3787986.5593900005</v>
      </c>
      <c r="DH10" s="95">
        <v>-3514616.0760200005</v>
      </c>
      <c r="DI10" s="95">
        <v>-3445587.9050700008</v>
      </c>
      <c r="DJ10" s="95">
        <v>-3437238.49242</v>
      </c>
      <c r="DK10" s="148">
        <v>-3436173.80804</v>
      </c>
      <c r="DL10" s="148">
        <v>-3496285.2335199993</v>
      </c>
      <c r="DM10" s="95">
        <v>-3663170.7756599998</v>
      </c>
      <c r="DN10" s="95">
        <v>-3605492.3793800003</v>
      </c>
      <c r="DO10" s="95">
        <v>-3662115.8108699997</v>
      </c>
      <c r="DP10" s="95">
        <v>-3829325.22744</v>
      </c>
      <c r="DQ10" s="95">
        <v>-4045119.4114899999</v>
      </c>
      <c r="DR10" s="95">
        <v>-3946272.0612799996</v>
      </c>
      <c r="DS10" s="95">
        <v>-4603378.3769500004</v>
      </c>
      <c r="DT10" s="95">
        <v>-4715873.2518800003</v>
      </c>
      <c r="DU10" s="95">
        <v>-4663183.2123199999</v>
      </c>
      <c r="DV10" s="95">
        <v>-4730626791.9399996</v>
      </c>
      <c r="DW10" s="96">
        <v>-4769253.9281200003</v>
      </c>
      <c r="DX10" s="97">
        <v>-4840637.5066</v>
      </c>
      <c r="DY10" s="97">
        <v>-4959538.7331000008</v>
      </c>
      <c r="DZ10" s="95">
        <v>-5081801.4260799997</v>
      </c>
      <c r="EA10" s="95">
        <v>-5307880.2959099999</v>
      </c>
      <c r="EB10" s="149">
        <v>-5404379.9369099997</v>
      </c>
      <c r="EC10" s="149">
        <v>-5559451.1100399997</v>
      </c>
      <c r="ED10" s="149">
        <v>-5752586.4687900003</v>
      </c>
      <c r="EE10" s="149">
        <v>-6232923.4495900003</v>
      </c>
      <c r="EF10" s="149">
        <v>-5841454.6222600006</v>
      </c>
      <c r="EG10" s="149">
        <v>-5863499.1034300001</v>
      </c>
      <c r="EH10" s="149">
        <v>-5958070.876029999</v>
      </c>
      <c r="EI10" s="149">
        <v>-5992821.0448599989</v>
      </c>
      <c r="EJ10" s="149">
        <v>-5943459.0698799985</v>
      </c>
      <c r="EK10" s="149">
        <v>-5999439.7412599996</v>
      </c>
      <c r="EL10" s="149">
        <v>-5863222.2509000003</v>
      </c>
      <c r="EM10" s="149">
        <v>-5823301.2551099993</v>
      </c>
      <c r="EN10" s="149">
        <v>-5859896.5109999999</v>
      </c>
      <c r="EO10" s="149">
        <v>-5932262.1321599996</v>
      </c>
      <c r="EP10" s="149">
        <v>-6234002.6057600006</v>
      </c>
      <c r="EQ10" s="149">
        <v>-6358750.3327399995</v>
      </c>
      <c r="ER10" s="149">
        <v>-6579741.6240100004</v>
      </c>
      <c r="ES10" s="149">
        <v>-6691508.8923399998</v>
      </c>
      <c r="ET10" s="149">
        <v>-6750477.1122699995</v>
      </c>
    </row>
    <row r="11" spans="1:150" ht="15" thickTop="1" x14ac:dyDescent="0.3">
      <c r="A11" s="150"/>
      <c r="B11" s="15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2"/>
      <c r="AC11" s="152"/>
      <c r="AD11" s="152"/>
      <c r="AE11" s="152"/>
      <c r="AF11" s="152"/>
      <c r="AG11" s="152"/>
      <c r="AH11" s="152"/>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4" t="s">
        <v>208</v>
      </c>
      <c r="BN11" s="154" t="s">
        <v>208</v>
      </c>
      <c r="BO11" s="154" t="s">
        <v>208</v>
      </c>
      <c r="BP11" s="154" t="s">
        <v>208</v>
      </c>
      <c r="BQ11" s="154" t="s">
        <v>208</v>
      </c>
      <c r="BR11" s="154" t="s">
        <v>208</v>
      </c>
      <c r="BS11" s="154" t="s">
        <v>208</v>
      </c>
      <c r="BT11" s="154" t="s">
        <v>208</v>
      </c>
      <c r="BU11" s="154" t="s">
        <v>208</v>
      </c>
      <c r="BV11" s="154"/>
      <c r="BW11" s="151"/>
      <c r="BX11" s="155"/>
      <c r="BY11" s="156"/>
      <c r="BZ11" s="156"/>
      <c r="CA11" s="156"/>
      <c r="CB11" s="156"/>
      <c r="CC11" s="156"/>
      <c r="CD11" s="156"/>
      <c r="CE11" s="156"/>
      <c r="CF11" s="156"/>
      <c r="CG11" s="156"/>
      <c r="CH11" s="156"/>
      <c r="CI11" s="156"/>
      <c r="CJ11" s="156"/>
      <c r="CK11" s="156"/>
      <c r="CL11" s="156"/>
      <c r="CM11" s="156"/>
      <c r="CN11" s="156"/>
      <c r="CO11" s="156"/>
      <c r="CP11" s="156"/>
      <c r="CQ11" s="157"/>
      <c r="CR11" s="157"/>
      <c r="DM11" s="53"/>
      <c r="EG11" s="158">
        <f>SUM(EG8:EG10)</f>
        <v>0</v>
      </c>
      <c r="EH11" s="158">
        <f>SUM(EH8:EH10)</f>
        <v>0</v>
      </c>
      <c r="EI11" s="158">
        <f t="shared" ref="EI11:EP11" si="4">SUM(EI8:EI10)</f>
        <v>0</v>
      </c>
      <c r="EJ11" s="158">
        <f t="shared" si="4"/>
        <v>0</v>
      </c>
      <c r="EK11" s="158">
        <f t="shared" si="4"/>
        <v>0</v>
      </c>
      <c r="EL11" s="158">
        <f t="shared" si="4"/>
        <v>0</v>
      </c>
      <c r="EM11" s="158">
        <f t="shared" si="4"/>
        <v>0</v>
      </c>
      <c r="EN11" s="158">
        <f>SUM(EN8:EN10)</f>
        <v>0</v>
      </c>
      <c r="EO11" s="158">
        <f t="shared" si="4"/>
        <v>0</v>
      </c>
      <c r="EP11" s="158">
        <f t="shared" si="4"/>
        <v>0</v>
      </c>
      <c r="EQ11" s="159">
        <f>SUM(EQ8:EQ10)</f>
        <v>197.72448000032455</v>
      </c>
      <c r="ER11" s="160">
        <f>SUM(ER8:ER10)</f>
        <v>0</v>
      </c>
      <c r="ES11" s="160">
        <f>SUM(ES8:ES10)</f>
        <v>0</v>
      </c>
      <c r="ET11" s="160">
        <f>SUM(ET8:ET10)</f>
        <v>0</v>
      </c>
    </row>
    <row r="12" spans="1:150" ht="14.25" x14ac:dyDescent="0.3">
      <c r="A12" s="161"/>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3"/>
      <c r="AX12" s="163"/>
      <c r="AY12" s="163"/>
      <c r="AZ12" s="163"/>
      <c r="BA12" s="163"/>
      <c r="BB12" s="154" t="s">
        <v>208</v>
      </c>
      <c r="BC12" s="164" t="s">
        <v>209</v>
      </c>
      <c r="BD12" s="165"/>
      <c r="BE12" s="165"/>
      <c r="BF12" s="165"/>
      <c r="BG12" s="153"/>
      <c r="BH12" s="153"/>
      <c r="BI12" s="153"/>
      <c r="BJ12" s="153"/>
      <c r="BK12" s="153"/>
      <c r="BL12" s="153"/>
      <c r="BM12" s="153"/>
      <c r="BN12" s="153"/>
      <c r="BO12" s="153"/>
      <c r="BP12" s="153"/>
      <c r="BQ12" s="153"/>
      <c r="BR12" s="153"/>
      <c r="BS12" s="153"/>
      <c r="BT12" s="153"/>
      <c r="BU12" s="153"/>
      <c r="BV12" s="153"/>
      <c r="BW12" s="151"/>
      <c r="BX12" s="166"/>
      <c r="BY12" s="167"/>
      <c r="BZ12" s="167"/>
      <c r="CA12" s="167"/>
      <c r="CB12" s="167"/>
      <c r="CC12" s="167"/>
      <c r="CD12" s="167"/>
      <c r="CE12" s="167"/>
      <c r="CF12" s="167"/>
      <c r="CG12" s="167"/>
      <c r="CH12" s="167"/>
      <c r="CI12" s="167"/>
      <c r="CJ12" s="167"/>
      <c r="CK12" s="167"/>
      <c r="CL12" s="167"/>
      <c r="CM12" s="167"/>
      <c r="CN12" s="167"/>
      <c r="CO12" s="167"/>
      <c r="CP12" s="167"/>
      <c r="CQ12" s="168"/>
      <c r="CR12" s="168"/>
      <c r="CS12" s="169"/>
      <c r="CT12" s="169"/>
      <c r="CU12" s="169"/>
      <c r="CV12" s="169"/>
      <c r="CW12" s="167"/>
      <c r="CX12" s="167"/>
      <c r="CY12" s="170"/>
      <c r="CZ12" s="167"/>
      <c r="DA12" s="167"/>
      <c r="DB12" s="167"/>
      <c r="DC12" s="167"/>
      <c r="DD12" s="167"/>
      <c r="DE12" s="167"/>
      <c r="DF12" s="171"/>
      <c r="DG12" s="167"/>
      <c r="DH12" s="167"/>
      <c r="DI12" s="167"/>
      <c r="DJ12" s="167"/>
      <c r="DK12" s="167"/>
      <c r="DL12" s="167"/>
      <c r="DM12" s="167"/>
      <c r="DN12" s="166"/>
      <c r="DO12" s="166"/>
      <c r="DP12" s="167"/>
      <c r="DQ12" s="166"/>
      <c r="DR12" s="167"/>
      <c r="DS12" s="172" t="s">
        <v>210</v>
      </c>
      <c r="DT12" s="167"/>
      <c r="DU12" s="167"/>
      <c r="DV12" s="167"/>
      <c r="DW12" s="172" t="s">
        <v>210</v>
      </c>
      <c r="DX12" s="173"/>
      <c r="DY12" s="173"/>
      <c r="DZ12" s="167"/>
      <c r="EA12" s="174"/>
      <c r="ED12" s="90" t="s">
        <v>211</v>
      </c>
      <c r="EE12" s="175">
        <f>+EE10+EE8</f>
        <v>-484832.90144000109</v>
      </c>
      <c r="EF12" s="175">
        <f>+EF10+EF8</f>
        <v>-197.72448000125587</v>
      </c>
    </row>
    <row r="13" spans="1:150" x14ac:dyDescent="0.2">
      <c r="A13" s="161"/>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3"/>
      <c r="AX13" s="163"/>
      <c r="AY13" s="163"/>
      <c r="AZ13" s="163"/>
      <c r="BA13" s="16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1"/>
      <c r="BX13" s="166"/>
      <c r="BY13" s="167"/>
      <c r="BZ13" s="167"/>
      <c r="CA13" s="167"/>
      <c r="CB13" s="167"/>
      <c r="CC13" s="167"/>
      <c r="CD13" s="167"/>
      <c r="CE13" s="167"/>
      <c r="CF13" s="167"/>
      <c r="CG13" s="167"/>
      <c r="CH13" s="167"/>
      <c r="CI13" s="167"/>
      <c r="CJ13" s="167"/>
      <c r="CK13" s="167"/>
      <c r="CL13" s="167"/>
      <c r="CM13" s="167"/>
      <c r="CN13" s="167"/>
      <c r="CO13" s="167"/>
      <c r="CP13" s="167"/>
      <c r="CQ13" s="168"/>
      <c r="CR13" s="168"/>
      <c r="CS13" s="169"/>
      <c r="CT13" s="169"/>
      <c r="CU13" s="169"/>
      <c r="CV13" s="169"/>
      <c r="CW13" s="167"/>
      <c r="CX13" s="167"/>
      <c r="CY13" s="170"/>
      <c r="CZ13" s="167"/>
      <c r="DA13" s="167"/>
      <c r="DB13" s="167"/>
      <c r="DC13" s="167"/>
      <c r="DD13" s="167"/>
      <c r="DE13" s="167"/>
      <c r="DF13" s="171"/>
      <c r="DG13" s="167"/>
      <c r="DH13" s="167"/>
      <c r="DI13" s="167"/>
      <c r="DJ13" s="167"/>
      <c r="DK13" s="167"/>
      <c r="DL13" s="167"/>
      <c r="DM13" s="167"/>
      <c r="DN13" s="166"/>
      <c r="DO13" s="166"/>
      <c r="DP13" s="167"/>
      <c r="DQ13" s="166"/>
      <c r="DR13" s="167"/>
      <c r="DS13" s="172"/>
      <c r="DT13" s="167"/>
      <c r="DU13" s="167"/>
      <c r="DV13" s="167"/>
      <c r="DW13" s="172"/>
      <c r="DX13" s="173"/>
      <c r="DY13" s="173"/>
      <c r="DZ13" s="167"/>
      <c r="EA13" s="174"/>
      <c r="ED13" s="90"/>
      <c r="EE13" s="176"/>
      <c r="EF13" s="176"/>
      <c r="EG13" s="158"/>
    </row>
    <row r="14" spans="1:150" x14ac:dyDescent="0.2">
      <c r="A14" s="161"/>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3"/>
      <c r="AX14" s="163"/>
      <c r="AY14" s="163"/>
      <c r="AZ14" s="163"/>
      <c r="BA14" s="163"/>
      <c r="BB14" s="495" t="s">
        <v>212</v>
      </c>
      <c r="BC14" s="495"/>
      <c r="BD14" s="495"/>
      <c r="BE14" s="495"/>
      <c r="BF14" s="495"/>
      <c r="BG14" s="177"/>
      <c r="BH14" s="496" t="s">
        <v>210</v>
      </c>
      <c r="BI14" s="497"/>
      <c r="BJ14" s="497"/>
      <c r="BK14" s="497"/>
      <c r="BL14" s="497"/>
      <c r="BM14" s="497"/>
      <c r="BN14" s="178"/>
      <c r="BO14" s="178"/>
      <c r="BP14" s="178"/>
      <c r="BQ14" s="178"/>
      <c r="BR14" s="178"/>
      <c r="BS14" s="178"/>
      <c r="BT14" s="178"/>
      <c r="BU14" s="178"/>
      <c r="BV14" s="178"/>
      <c r="BW14" s="179"/>
      <c r="BX14" s="166"/>
      <c r="BY14" s="167"/>
      <c r="BZ14" s="167"/>
      <c r="CA14" s="167"/>
      <c r="CB14" s="167"/>
      <c r="CC14" s="167"/>
      <c r="CD14" s="167"/>
      <c r="CE14" s="167"/>
      <c r="CF14" s="167"/>
      <c r="CG14" s="167"/>
      <c r="CH14" s="167"/>
      <c r="CI14" s="167"/>
      <c r="CJ14" s="167"/>
      <c r="CK14" s="167"/>
      <c r="CL14" s="167"/>
      <c r="CM14" s="167"/>
      <c r="CN14" s="167"/>
      <c r="CO14" s="167"/>
      <c r="CP14" s="167"/>
      <c r="CQ14" s="168"/>
      <c r="CR14" s="168"/>
      <c r="CS14" s="169"/>
      <c r="CT14" s="169"/>
      <c r="CU14" s="169"/>
      <c r="CV14" s="169"/>
      <c r="CW14" s="167"/>
      <c r="CX14" s="167"/>
      <c r="CY14" s="170"/>
      <c r="CZ14" s="167"/>
      <c r="DA14" s="167"/>
      <c r="DB14" s="167"/>
      <c r="DC14" s="167"/>
      <c r="DD14" s="167"/>
      <c r="DE14" s="167"/>
      <c r="DF14" s="171"/>
      <c r="DG14" s="167"/>
      <c r="DH14" s="167"/>
      <c r="DI14" s="167"/>
      <c r="DJ14" s="167"/>
      <c r="DK14" s="167"/>
      <c r="DL14" s="167"/>
      <c r="DM14" s="167"/>
      <c r="DN14" s="166"/>
      <c r="DO14" s="166"/>
      <c r="DP14" s="167"/>
      <c r="DQ14" s="166"/>
      <c r="DR14" s="167"/>
      <c r="DS14" s="172"/>
      <c r="DT14" s="167"/>
      <c r="DU14" s="167"/>
      <c r="DV14" s="167"/>
      <c r="DW14" s="172"/>
      <c r="DX14" s="173"/>
      <c r="DY14" s="173"/>
      <c r="DZ14" s="167"/>
      <c r="EA14" s="174"/>
      <c r="ED14" s="90"/>
      <c r="EE14" s="176"/>
      <c r="EF14" s="176"/>
      <c r="EG14" s="158"/>
    </row>
    <row r="15" spans="1:150" x14ac:dyDescent="0.2">
      <c r="A15" s="161"/>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3"/>
      <c r="AX15" s="163"/>
      <c r="AY15" s="163"/>
      <c r="AZ15" s="163"/>
      <c r="BA15" s="163"/>
      <c r="BB15" s="498" t="s">
        <v>213</v>
      </c>
      <c r="BC15" s="498"/>
      <c r="BD15" s="498"/>
      <c r="BE15" s="498"/>
      <c r="BF15" s="498"/>
      <c r="BG15" s="180"/>
      <c r="BH15" s="499" t="s">
        <v>214</v>
      </c>
      <c r="BI15" s="500"/>
      <c r="BJ15" s="500"/>
      <c r="BK15" s="500"/>
      <c r="BL15" s="500"/>
      <c r="BM15" s="500"/>
      <c r="BN15" s="181"/>
      <c r="BO15" s="181"/>
      <c r="BP15" s="181"/>
      <c r="BQ15" s="181"/>
      <c r="BR15" s="181"/>
      <c r="BS15" s="181"/>
      <c r="BT15" s="181"/>
      <c r="BU15" s="181"/>
      <c r="BV15" s="181"/>
      <c r="BW15" s="182"/>
      <c r="BX15" s="166"/>
      <c r="BY15" s="167"/>
      <c r="BZ15" s="167"/>
      <c r="CA15" s="167"/>
      <c r="CB15" s="167"/>
      <c r="CC15" s="167"/>
      <c r="CD15" s="167"/>
      <c r="CE15" s="167"/>
      <c r="CF15" s="167"/>
      <c r="CG15" s="167"/>
      <c r="CH15" s="167"/>
      <c r="CI15" s="167"/>
      <c r="CJ15" s="167"/>
      <c r="CK15" s="167"/>
      <c r="CL15" s="167"/>
      <c r="CM15" s="167"/>
      <c r="CN15" s="167"/>
      <c r="CO15" s="167"/>
      <c r="CP15" s="167"/>
      <c r="CQ15" s="168"/>
      <c r="CR15" s="168"/>
      <c r="CS15" s="169"/>
      <c r="CT15" s="169"/>
      <c r="CU15" s="169"/>
      <c r="CV15" s="169"/>
      <c r="CW15" s="167"/>
      <c r="CX15" s="167"/>
      <c r="CY15" s="170"/>
      <c r="CZ15" s="167"/>
      <c r="DA15" s="167"/>
      <c r="DB15" s="167"/>
      <c r="DC15" s="167"/>
      <c r="DD15" s="167"/>
      <c r="DE15" s="167"/>
      <c r="DF15" s="171"/>
      <c r="DG15" s="167"/>
      <c r="DH15" s="167"/>
      <c r="DI15" s="167"/>
      <c r="DJ15" s="167"/>
      <c r="DK15" s="167"/>
      <c r="DL15" s="167"/>
      <c r="DM15" s="167"/>
      <c r="DN15" s="166"/>
      <c r="DO15" s="166"/>
      <c r="DP15" s="167"/>
      <c r="DQ15" s="166"/>
      <c r="DR15" s="167"/>
      <c r="DS15" s="172"/>
      <c r="DT15" s="167"/>
      <c r="DU15" s="167"/>
      <c r="DV15" s="167"/>
      <c r="DW15" s="172"/>
      <c r="DX15" s="173"/>
      <c r="DY15" s="173"/>
      <c r="DZ15" s="167"/>
      <c r="EA15" s="174"/>
      <c r="ED15" s="90"/>
      <c r="EE15" s="176"/>
      <c r="EF15" s="176"/>
      <c r="EG15" s="158"/>
    </row>
    <row r="16" spans="1:150" ht="13.5" thickBot="1" x14ac:dyDescent="0.25">
      <c r="A16" s="89"/>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83"/>
      <c r="BU16" s="183"/>
      <c r="BV16" s="183"/>
      <c r="BW16" s="184" t="s">
        <v>213</v>
      </c>
      <c r="BX16" s="185" t="s">
        <v>210</v>
      </c>
      <c r="BY16" s="183"/>
      <c r="BZ16" s="183"/>
      <c r="CA16" s="183"/>
      <c r="CB16" s="183"/>
      <c r="CC16" s="183"/>
      <c r="CD16" s="183"/>
      <c r="CE16" s="183"/>
      <c r="CF16" s="183"/>
      <c r="CG16" s="183"/>
      <c r="CH16" s="183"/>
      <c r="CI16" s="183"/>
      <c r="CJ16" s="183"/>
      <c r="CK16" s="183"/>
      <c r="CL16" s="183"/>
      <c r="CM16" s="183"/>
      <c r="CN16" s="183"/>
      <c r="CO16" s="183"/>
      <c r="CP16" s="183"/>
      <c r="CQ16" s="186"/>
      <c r="CR16" s="186"/>
      <c r="CS16" s="187"/>
      <c r="CT16" s="187"/>
      <c r="CU16" s="187"/>
      <c r="CV16" s="187"/>
      <c r="CW16" s="183"/>
      <c r="CX16" s="183"/>
      <c r="CY16" s="188"/>
      <c r="CZ16" s="183"/>
      <c r="DA16" s="183"/>
      <c r="DB16" s="183"/>
      <c r="DC16" s="183"/>
      <c r="DD16" s="183"/>
      <c r="DE16" s="183"/>
      <c r="DF16" s="183"/>
      <c r="DG16" s="183"/>
      <c r="DH16" s="183"/>
      <c r="DI16" s="183"/>
      <c r="DJ16" s="183"/>
      <c r="DK16" s="183"/>
      <c r="DL16" s="183"/>
      <c r="DM16" s="183"/>
      <c r="DN16" s="183"/>
      <c r="DO16" s="183"/>
      <c r="DP16" s="183"/>
      <c r="DQ16" s="183"/>
      <c r="DR16" s="183"/>
      <c r="DS16" s="189" t="s">
        <v>214</v>
      </c>
      <c r="DT16" s="183"/>
      <c r="DU16" s="183"/>
      <c r="DV16" s="183"/>
      <c r="DW16" s="189" t="s">
        <v>214</v>
      </c>
      <c r="DX16" s="190"/>
      <c r="DY16" s="190"/>
      <c r="EA16" s="174"/>
      <c r="ED16" s="90" t="s">
        <v>215</v>
      </c>
      <c r="EE16" s="191">
        <f>+EE12+BG8</f>
        <v>-197.72448000102304</v>
      </c>
      <c r="EI16" s="189" t="s">
        <v>214</v>
      </c>
    </row>
    <row r="17" spans="1:143" ht="13.5" thickTop="1" x14ac:dyDescent="0.2">
      <c r="A17" s="192"/>
      <c r="B17" s="193"/>
      <c r="C17" s="193"/>
      <c r="D17" s="193"/>
      <c r="E17" s="193"/>
      <c r="F17" s="193"/>
      <c r="G17" s="193"/>
      <c r="H17" s="193"/>
      <c r="I17" s="193"/>
      <c r="J17" s="193"/>
      <c r="K17" s="193"/>
      <c r="L17" s="193"/>
      <c r="M17" s="193"/>
      <c r="N17" s="193"/>
      <c r="O17" s="193"/>
      <c r="P17" s="193"/>
      <c r="Q17" s="193"/>
      <c r="R17" s="193"/>
      <c r="S17" s="193"/>
      <c r="T17" s="193"/>
      <c r="U17" s="193"/>
      <c r="V17" s="193"/>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7" t="s">
        <v>72</v>
      </c>
      <c r="BL17" s="17" t="s">
        <v>73</v>
      </c>
      <c r="BM17" s="18" t="s">
        <v>74</v>
      </c>
      <c r="BN17" s="18" t="s">
        <v>75</v>
      </c>
      <c r="BO17" s="18" t="s">
        <v>76</v>
      </c>
      <c r="BP17" s="18" t="s">
        <v>77</v>
      </c>
      <c r="BQ17" s="18" t="s">
        <v>78</v>
      </c>
      <c r="BR17" s="18" t="s">
        <v>79</v>
      </c>
      <c r="BS17" s="18" t="s">
        <v>80</v>
      </c>
      <c r="BT17" s="18" t="s">
        <v>81</v>
      </c>
      <c r="BU17" s="18" t="s">
        <v>82</v>
      </c>
      <c r="BV17" s="195" t="s">
        <v>83</v>
      </c>
      <c r="BW17" s="196"/>
      <c r="BX17" s="197"/>
    </row>
    <row r="18" spans="1:143" x14ac:dyDescent="0.2">
      <c r="A18" s="198" t="s">
        <v>84</v>
      </c>
      <c r="B18" s="199">
        <f t="shared" ref="B18:BV20" si="5">B5/1000</f>
        <v>35.711048999999996</v>
      </c>
      <c r="C18" s="199">
        <f t="shared" si="5"/>
        <v>45.238909</v>
      </c>
      <c r="D18" s="199">
        <f t="shared" si="5"/>
        <v>41.370872000000006</v>
      </c>
      <c r="E18" s="199">
        <f t="shared" si="5"/>
        <v>56.903161999999995</v>
      </c>
      <c r="F18" s="199">
        <f t="shared" si="5"/>
        <v>46.502781999999996</v>
      </c>
      <c r="G18" s="199">
        <f t="shared" si="5"/>
        <v>43.078055999999997</v>
      </c>
      <c r="H18" s="199">
        <f t="shared" si="5"/>
        <v>44.753561000000005</v>
      </c>
      <c r="I18" s="199">
        <f t="shared" si="5"/>
        <v>24.778928000000001</v>
      </c>
      <c r="J18" s="199">
        <f t="shared" si="5"/>
        <v>26.095876000000001</v>
      </c>
      <c r="K18" s="199">
        <f t="shared" si="5"/>
        <v>31.100301999999999</v>
      </c>
      <c r="L18" s="199">
        <f t="shared" si="5"/>
        <v>24.954839</v>
      </c>
      <c r="M18" s="199">
        <f t="shared" si="5"/>
        <v>47.099677</v>
      </c>
      <c r="N18" s="200">
        <f t="shared" si="5"/>
        <v>42.413821000000006</v>
      </c>
      <c r="O18" s="200">
        <f t="shared" si="5"/>
        <v>51.5565</v>
      </c>
      <c r="P18" s="200">
        <f t="shared" si="5"/>
        <v>41.916086</v>
      </c>
      <c r="Q18" s="200">
        <f t="shared" si="5"/>
        <v>40.314703000000002</v>
      </c>
      <c r="R18" s="200">
        <f t="shared" si="5"/>
        <v>63.960542000000004</v>
      </c>
      <c r="S18" s="200">
        <f t="shared" si="5"/>
        <v>69.854910999999987</v>
      </c>
      <c r="T18" s="200">
        <f t="shared" si="5"/>
        <v>76.670050000000003</v>
      </c>
      <c r="U18" s="200">
        <f t="shared" si="5"/>
        <v>91.929547999999997</v>
      </c>
      <c r="V18" s="200">
        <f t="shared" si="5"/>
        <v>89.806200000000004</v>
      </c>
      <c r="W18" s="200">
        <f t="shared" si="5"/>
        <v>106.74197599999999</v>
      </c>
      <c r="X18" s="200">
        <f t="shared" si="5"/>
        <v>72.422954000000004</v>
      </c>
      <c r="Y18" s="200">
        <f t="shared" si="5"/>
        <v>106.636785</v>
      </c>
      <c r="Z18" s="200">
        <f t="shared" si="5"/>
        <v>106.322958</v>
      </c>
      <c r="AA18" s="200">
        <f t="shared" si="5"/>
        <v>95.036620999999997</v>
      </c>
      <c r="AB18" s="200">
        <f t="shared" si="5"/>
        <v>96.837130000000002</v>
      </c>
      <c r="AC18" s="200">
        <f t="shared" si="5"/>
        <v>108.90419199999999</v>
      </c>
      <c r="AD18" s="200">
        <f t="shared" si="5"/>
        <v>111.227261</v>
      </c>
      <c r="AE18" s="200">
        <f t="shared" si="5"/>
        <v>97.724964000000014</v>
      </c>
      <c r="AF18" s="200">
        <f t="shared" si="5"/>
        <v>77.119149999999991</v>
      </c>
      <c r="AG18" s="200">
        <f t="shared" si="5"/>
        <v>49.726835000000001</v>
      </c>
      <c r="AH18" s="200">
        <f t="shared" si="5"/>
        <v>47.382222999999996</v>
      </c>
      <c r="AI18" s="200">
        <f t="shared" si="5"/>
        <v>30.957217</v>
      </c>
      <c r="AJ18" s="200">
        <f t="shared" si="5"/>
        <v>43.379351999999997</v>
      </c>
      <c r="AK18" s="200">
        <f t="shared" si="5"/>
        <v>99.178739000000007</v>
      </c>
      <c r="AL18" s="200">
        <f t="shared" si="5"/>
        <v>92.419792000000001</v>
      </c>
      <c r="AM18" s="200">
        <f t="shared" si="5"/>
        <v>104.81267</v>
      </c>
      <c r="AN18" s="200">
        <f t="shared" si="5"/>
        <v>110.06706200000001</v>
      </c>
      <c r="AO18" s="200">
        <f t="shared" si="5"/>
        <v>94.185414999999992</v>
      </c>
      <c r="AP18" s="200">
        <f t="shared" si="5"/>
        <v>101.245452</v>
      </c>
      <c r="AQ18" s="200">
        <f t="shared" si="5"/>
        <v>82.255373000000006</v>
      </c>
      <c r="AR18" s="200">
        <f t="shared" si="5"/>
        <v>82.124769999999998</v>
      </c>
      <c r="AS18" s="200">
        <f t="shared" si="5"/>
        <v>102.05155000000001</v>
      </c>
      <c r="AT18" s="201">
        <f t="shared" si="5"/>
        <v>86.972076000000001</v>
      </c>
      <c r="AU18" s="201">
        <f t="shared" si="5"/>
        <v>64.536653999999999</v>
      </c>
      <c r="AV18" s="201">
        <f t="shared" si="5"/>
        <v>50.518872999999999</v>
      </c>
      <c r="AW18" s="201">
        <f t="shared" si="5"/>
        <v>88.878167000000005</v>
      </c>
      <c r="AX18" s="201">
        <f t="shared" si="5"/>
        <v>103.584039</v>
      </c>
      <c r="AY18" s="201">
        <f t="shared" si="5"/>
        <v>116.544178</v>
      </c>
      <c r="AZ18" s="201">
        <f t="shared" si="5"/>
        <v>105.903784</v>
      </c>
      <c r="BA18" s="201">
        <f t="shared" si="5"/>
        <v>103.43421000000001</v>
      </c>
      <c r="BB18" s="201">
        <f t="shared" si="5"/>
        <v>119.373035</v>
      </c>
      <c r="BC18" s="201">
        <f t="shared" si="5"/>
        <v>91.249637000000007</v>
      </c>
      <c r="BD18" s="201">
        <f t="shared" si="5"/>
        <v>92.280792000000005</v>
      </c>
      <c r="BE18" s="201">
        <f t="shared" si="5"/>
        <v>82.009178000000006</v>
      </c>
      <c r="BF18" s="201">
        <f t="shared" si="5"/>
        <v>61.854851000000004</v>
      </c>
      <c r="BG18" s="201">
        <f t="shared" si="5"/>
        <v>73.13480100000001</v>
      </c>
      <c r="BH18" s="201">
        <f t="shared" si="5"/>
        <v>77.974620000000002</v>
      </c>
      <c r="BI18" s="201">
        <f t="shared" si="5"/>
        <v>77.995706999999996</v>
      </c>
      <c r="BJ18" s="201">
        <f t="shared" si="5"/>
        <v>108.86717900000001</v>
      </c>
      <c r="BK18" s="202">
        <f t="shared" si="5"/>
        <v>96.903936000000002</v>
      </c>
      <c r="BL18" s="202">
        <f t="shared" si="5"/>
        <v>100.636352</v>
      </c>
      <c r="BM18" s="202">
        <f t="shared" si="5"/>
        <v>93.200186000000002</v>
      </c>
      <c r="BN18" s="202">
        <f t="shared" si="5"/>
        <v>112.673247</v>
      </c>
      <c r="BO18" s="202">
        <f t="shared" si="5"/>
        <v>90.109570000000005</v>
      </c>
      <c r="BP18" s="202">
        <f t="shared" si="5"/>
        <v>90.660015000000001</v>
      </c>
      <c r="BQ18" s="202">
        <f t="shared" si="5"/>
        <v>90.528554999999997</v>
      </c>
      <c r="BR18" s="202">
        <f t="shared" si="5"/>
        <v>79.43121099999999</v>
      </c>
      <c r="BS18" s="202">
        <f t="shared" si="5"/>
        <v>89.223016000000001</v>
      </c>
      <c r="BT18" s="202">
        <f t="shared" si="5"/>
        <v>86.130171000000004</v>
      </c>
      <c r="BU18" s="202">
        <f t="shared" si="5"/>
        <v>99.127793000000011</v>
      </c>
      <c r="BV18" s="203">
        <f t="shared" si="5"/>
        <v>112.043239</v>
      </c>
      <c r="BW18" s="156"/>
      <c r="BX18" s="156"/>
      <c r="BY18" s="156"/>
      <c r="BZ18" s="156"/>
      <c r="CA18" s="156"/>
      <c r="CB18" s="156"/>
      <c r="CC18" s="156"/>
      <c r="CD18" s="156"/>
      <c r="CE18" s="156"/>
      <c r="CF18" s="156"/>
      <c r="CG18" s="156"/>
      <c r="CH18" s="156"/>
      <c r="CI18" s="156"/>
      <c r="CJ18" s="156"/>
      <c r="CK18" s="156"/>
      <c r="CL18" s="156"/>
      <c r="CM18" s="156"/>
      <c r="CN18" s="156"/>
      <c r="CO18" s="156"/>
      <c r="CP18" s="157"/>
      <c r="CQ18" s="157"/>
      <c r="CR18" s="204"/>
      <c r="CS18" s="204"/>
      <c r="CT18" s="204"/>
      <c r="CU18" s="204"/>
      <c r="CV18" s="156"/>
      <c r="CW18" s="156"/>
      <c r="CX18" s="205"/>
      <c r="CY18" s="156"/>
      <c r="CZ18" s="156"/>
      <c r="DA18" s="156"/>
      <c r="DB18" s="156"/>
      <c r="DC18" s="156"/>
      <c r="DD18" s="156"/>
      <c r="DE18" s="156"/>
      <c r="DF18" s="156"/>
      <c r="DG18" s="156"/>
      <c r="DH18" s="156"/>
      <c r="DI18" s="156"/>
      <c r="DJ18" s="156"/>
      <c r="DV18" s="55"/>
      <c r="DW18" s="56"/>
      <c r="DY18" s="19"/>
      <c r="EA18" s="54"/>
      <c r="EB18" s="19"/>
      <c r="EH18" s="206"/>
    </row>
    <row r="19" spans="1:143" x14ac:dyDescent="0.2">
      <c r="A19" s="207" t="s">
        <v>85</v>
      </c>
      <c r="B19" s="208">
        <f t="shared" si="5"/>
        <v>-20.525362410000003</v>
      </c>
      <c r="C19" s="208">
        <f t="shared" si="5"/>
        <v>-10.352523760000002</v>
      </c>
      <c r="D19" s="208">
        <f t="shared" si="5"/>
        <v>-19.03819408</v>
      </c>
      <c r="E19" s="208">
        <f t="shared" si="5"/>
        <v>30.439440250000001</v>
      </c>
      <c r="F19" s="208">
        <f t="shared" si="5"/>
        <v>-36.623879870000003</v>
      </c>
      <c r="G19" s="208">
        <f t="shared" si="5"/>
        <v>-21.165536170000003</v>
      </c>
      <c r="H19" s="208">
        <f t="shared" si="5"/>
        <v>45.816550679999999</v>
      </c>
      <c r="I19" s="208">
        <f t="shared" si="5"/>
        <v>-64.589550200000005</v>
      </c>
      <c r="J19" s="208">
        <f t="shared" si="5"/>
        <v>-63.687085989999993</v>
      </c>
      <c r="K19" s="208">
        <f t="shared" si="5"/>
        <v>-7.9286253400000017</v>
      </c>
      <c r="L19" s="208">
        <f t="shared" si="5"/>
        <v>-20.32955385</v>
      </c>
      <c r="M19" s="208">
        <f t="shared" si="5"/>
        <v>1.7160629499999993</v>
      </c>
      <c r="N19" s="209">
        <f t="shared" si="5"/>
        <v>-33.881007319999995</v>
      </c>
      <c r="O19" s="209">
        <f t="shared" si="5"/>
        <v>43.825343079999996</v>
      </c>
      <c r="P19" s="209">
        <f t="shared" si="5"/>
        <v>4.422951999999955E-2</v>
      </c>
      <c r="Q19" s="209">
        <f t="shared" si="5"/>
        <v>28.37762489</v>
      </c>
      <c r="R19" s="209">
        <f t="shared" si="5"/>
        <v>136.92436189000003</v>
      </c>
      <c r="S19" s="209">
        <f t="shared" si="5"/>
        <v>167.34908747</v>
      </c>
      <c r="T19" s="209">
        <f t="shared" si="5"/>
        <v>99.72366851000001</v>
      </c>
      <c r="U19" s="209">
        <f t="shared" si="5"/>
        <v>167.26943188999996</v>
      </c>
      <c r="V19" s="209">
        <f t="shared" si="5"/>
        <v>202.29161485</v>
      </c>
      <c r="W19" s="209">
        <f t="shared" si="5"/>
        <v>168.26799761999999</v>
      </c>
      <c r="X19" s="209">
        <f t="shared" si="5"/>
        <v>189.86465018999999</v>
      </c>
      <c r="Y19" s="209">
        <f t="shared" si="5"/>
        <v>133.44506129999999</v>
      </c>
      <c r="Z19" s="209">
        <f t="shared" si="5"/>
        <v>148.62944105000003</v>
      </c>
      <c r="AA19" s="209">
        <f t="shared" si="5"/>
        <v>109.06701388</v>
      </c>
      <c r="AB19" s="209">
        <f t="shared" si="5"/>
        <v>77.479095239999992</v>
      </c>
      <c r="AC19" s="209">
        <f t="shared" si="5"/>
        <v>71.56804391</v>
      </c>
      <c r="AD19" s="209">
        <f t="shared" si="5"/>
        <v>124.14309319</v>
      </c>
      <c r="AE19" s="209">
        <f t="shared" si="5"/>
        <v>89.43471510000002</v>
      </c>
      <c r="AF19" s="209">
        <f t="shared" si="5"/>
        <v>41.361115340000005</v>
      </c>
      <c r="AG19" s="209">
        <f t="shared" si="5"/>
        <v>50.826347849999991</v>
      </c>
      <c r="AH19" s="209">
        <f t="shared" si="5"/>
        <v>-5.3351019800000001</v>
      </c>
      <c r="AI19" s="209">
        <f t="shared" si="5"/>
        <v>27.801966809999996</v>
      </c>
      <c r="AJ19" s="209">
        <f t="shared" si="5"/>
        <v>97.780631549999995</v>
      </c>
      <c r="AK19" s="209">
        <f t="shared" si="5"/>
        <v>108.87092155000001</v>
      </c>
      <c r="AL19" s="209">
        <f t="shared" si="5"/>
        <v>101.50720105000001</v>
      </c>
      <c r="AM19" s="209">
        <f t="shared" si="5"/>
        <v>103.92273338</v>
      </c>
      <c r="AN19" s="209">
        <f t="shared" si="5"/>
        <v>118.59152856999999</v>
      </c>
      <c r="AO19" s="209">
        <f t="shared" si="5"/>
        <v>94.255134279999993</v>
      </c>
      <c r="AP19" s="209">
        <f t="shared" si="5"/>
        <v>96.654176590000006</v>
      </c>
      <c r="AQ19" s="209">
        <f t="shared" si="5"/>
        <v>114.91692191</v>
      </c>
      <c r="AR19" s="209">
        <f t="shared" si="5"/>
        <v>146.95069003</v>
      </c>
      <c r="AS19" s="209">
        <f t="shared" si="5"/>
        <v>92.56137769</v>
      </c>
      <c r="AT19" s="33">
        <f t="shared" si="5"/>
        <v>80.391972539999998</v>
      </c>
      <c r="AU19" s="33">
        <f t="shared" si="5"/>
        <v>111.99280784000001</v>
      </c>
      <c r="AV19" s="33">
        <f t="shared" si="5"/>
        <v>105.04244458999999</v>
      </c>
      <c r="AW19" s="33">
        <f t="shared" si="5"/>
        <v>118.85853734999999</v>
      </c>
      <c r="AX19" s="33">
        <f t="shared" si="5"/>
        <v>119.53790850999999</v>
      </c>
      <c r="AY19" s="33">
        <f t="shared" si="5"/>
        <v>146.98953438000001</v>
      </c>
      <c r="AZ19" s="33">
        <f t="shared" si="5"/>
        <v>152.07321773000004</v>
      </c>
      <c r="BA19" s="33">
        <f t="shared" si="5"/>
        <v>160.18482850999999</v>
      </c>
      <c r="BB19" s="33">
        <f t="shared" si="5"/>
        <v>202.41764331000002</v>
      </c>
      <c r="BC19" s="33">
        <f t="shared" si="5"/>
        <v>167.51077527999996</v>
      </c>
      <c r="BD19" s="33">
        <f t="shared" si="5"/>
        <v>170.88310321</v>
      </c>
      <c r="BE19" s="33">
        <f t="shared" si="5"/>
        <v>176.08826529999999</v>
      </c>
      <c r="BF19" s="33">
        <f t="shared" si="5"/>
        <v>114.11972812999998</v>
      </c>
      <c r="BG19" s="33">
        <f t="shared" si="5"/>
        <v>142.15546558000003</v>
      </c>
      <c r="BH19" s="33">
        <f t="shared" si="5"/>
        <v>131.50245139</v>
      </c>
      <c r="BI19" s="33">
        <f t="shared" si="5"/>
        <v>152.52537820999996</v>
      </c>
      <c r="BJ19" s="33">
        <f t="shared" si="5"/>
        <v>132.64059444999998</v>
      </c>
      <c r="BK19" s="210">
        <f t="shared" si="5"/>
        <v>146.26343023999999</v>
      </c>
      <c r="BL19" s="210">
        <f t="shared" si="5"/>
        <v>125.09099068</v>
      </c>
      <c r="BM19" s="210">
        <f t="shared" si="5"/>
        <v>108.98407985999999</v>
      </c>
      <c r="BN19" s="210">
        <f t="shared" si="5"/>
        <v>111.81844411</v>
      </c>
      <c r="BO19" s="210">
        <f t="shared" si="5"/>
        <v>136.26394687000001</v>
      </c>
      <c r="BP19" s="210">
        <f>BP6/1000</f>
        <v>155.14201462</v>
      </c>
      <c r="BQ19" s="210">
        <f t="shared" si="5"/>
        <v>161.13079102999998</v>
      </c>
      <c r="BR19" s="210">
        <f t="shared" si="5"/>
        <v>139.09038547</v>
      </c>
      <c r="BS19" s="210">
        <f t="shared" si="5"/>
        <v>180.19974382000001</v>
      </c>
      <c r="BT19" s="210">
        <f t="shared" si="5"/>
        <v>163.15951284000002</v>
      </c>
      <c r="BU19" s="210">
        <f t="shared" si="5"/>
        <v>156.97170936999999</v>
      </c>
      <c r="BV19" s="211">
        <f t="shared" si="5"/>
        <v>197.24468096000001</v>
      </c>
      <c r="BW19" s="156"/>
      <c r="BX19" s="212"/>
      <c r="BY19" s="156"/>
      <c r="BZ19" s="156"/>
      <c r="CA19" s="156"/>
      <c r="CB19" s="156"/>
      <c r="CC19" s="156"/>
      <c r="CD19" s="156"/>
      <c r="CE19" s="156"/>
      <c r="CF19" s="156"/>
      <c r="CG19" s="156"/>
      <c r="CH19" s="156"/>
      <c r="CI19" s="156"/>
      <c r="CJ19" s="156"/>
      <c r="CK19" s="156"/>
      <c r="CL19" s="156"/>
      <c r="CM19" s="156"/>
      <c r="CN19" s="156"/>
      <c r="CO19" s="156"/>
      <c r="CP19" s="157"/>
      <c r="CQ19" s="157"/>
      <c r="CR19" s="204"/>
      <c r="CS19" s="204"/>
      <c r="CT19" s="204"/>
      <c r="CU19" s="204"/>
      <c r="CV19" s="156"/>
      <c r="CW19" s="156"/>
      <c r="CX19" s="205"/>
      <c r="CY19" s="156"/>
      <c r="CZ19" s="156"/>
      <c r="DA19" s="156"/>
      <c r="DB19" s="156"/>
      <c r="DC19" s="156"/>
      <c r="DD19" s="156"/>
      <c r="DE19" s="156"/>
      <c r="DF19" s="156"/>
      <c r="DG19" s="156"/>
      <c r="DH19" s="156"/>
      <c r="DI19" s="156"/>
      <c r="DJ19" s="156"/>
      <c r="DV19" s="55"/>
      <c r="DW19" s="56"/>
      <c r="DY19" s="19"/>
      <c r="EA19" s="54"/>
      <c r="EB19" s="19"/>
    </row>
    <row r="20" spans="1:143" x14ac:dyDescent="0.2">
      <c r="A20" s="207" t="s">
        <v>86</v>
      </c>
      <c r="B20" s="208">
        <f t="shared" si="5"/>
        <v>26.267478430000001</v>
      </c>
      <c r="C20" s="208">
        <f t="shared" si="5"/>
        <v>44.77517864</v>
      </c>
      <c r="D20" s="208">
        <f t="shared" si="5"/>
        <v>38.236878130000008</v>
      </c>
      <c r="E20" s="208">
        <f t="shared" si="5"/>
        <v>30.17321789</v>
      </c>
      <c r="F20" s="208">
        <f t="shared" si="5"/>
        <v>34.141159089999995</v>
      </c>
      <c r="G20" s="208">
        <f t="shared" si="5"/>
        <v>43.39202418</v>
      </c>
      <c r="H20" s="208">
        <f t="shared" si="5"/>
        <v>83.500158200000001</v>
      </c>
      <c r="I20" s="208">
        <f t="shared" si="5"/>
        <v>38.603429649999995</v>
      </c>
      <c r="J20" s="208">
        <f t="shared" si="5"/>
        <v>79.836718510000011</v>
      </c>
      <c r="K20" s="208">
        <f t="shared" si="5"/>
        <v>66.79693481999999</v>
      </c>
      <c r="L20" s="208">
        <f t="shared" si="5"/>
        <v>30.2877969</v>
      </c>
      <c r="M20" s="208">
        <f t="shared" si="5"/>
        <v>44.067945450000003</v>
      </c>
      <c r="N20" s="209">
        <f t="shared" si="5"/>
        <v>49.83652202999999</v>
      </c>
      <c r="O20" s="209">
        <f t="shared" si="5"/>
        <v>73.949438099999995</v>
      </c>
      <c r="P20" s="209">
        <f t="shared" si="5"/>
        <v>-25.490615890000001</v>
      </c>
      <c r="Q20" s="209">
        <f t="shared" si="5"/>
        <v>80.238974409999997</v>
      </c>
      <c r="R20" s="209">
        <f t="shared" si="5"/>
        <v>134.27565681999999</v>
      </c>
      <c r="S20" s="209">
        <f t="shared" si="5"/>
        <v>168.84898071999996</v>
      </c>
      <c r="T20" s="209">
        <f t="shared" si="5"/>
        <v>152.86472892</v>
      </c>
      <c r="U20" s="209">
        <f t="shared" si="5"/>
        <v>146.72763017000003</v>
      </c>
      <c r="V20" s="209">
        <f t="shared" si="5"/>
        <v>174.78742668999999</v>
      </c>
      <c r="W20" s="209">
        <f t="shared" si="5"/>
        <v>178.40239116000004</v>
      </c>
      <c r="X20" s="209">
        <f t="shared" si="5"/>
        <v>168.81788058000001</v>
      </c>
      <c r="Y20" s="209">
        <f t="shared" si="5"/>
        <v>142.60497320000002</v>
      </c>
      <c r="Z20" s="209">
        <f t="shared" si="5"/>
        <v>197.55588049000002</v>
      </c>
      <c r="AA20" s="209">
        <f t="shared" si="5"/>
        <v>186.38758228</v>
      </c>
      <c r="AB20" s="209">
        <f t="shared" si="5"/>
        <v>177.96532901999998</v>
      </c>
      <c r="AC20" s="209">
        <f t="shared" si="5"/>
        <v>121.71686694999998</v>
      </c>
      <c r="AD20" s="209">
        <f t="shared" si="5"/>
        <v>215.75444101000002</v>
      </c>
      <c r="AE20" s="209">
        <f t="shared" si="5"/>
        <v>183.92987112</v>
      </c>
      <c r="AF20" s="209">
        <f t="shared" si="5"/>
        <v>154.74700244000002</v>
      </c>
      <c r="AG20" s="209">
        <f t="shared" si="5"/>
        <v>181.88195504000001</v>
      </c>
      <c r="AH20" s="209">
        <f t="shared" si="5"/>
        <v>56.800229200000004</v>
      </c>
      <c r="AI20" s="209">
        <f t="shared" si="5"/>
        <v>98.975817590000005</v>
      </c>
      <c r="AJ20" s="209">
        <f t="shared" si="5"/>
        <v>172.49866500000002</v>
      </c>
      <c r="AK20" s="209">
        <f t="shared" si="5"/>
        <v>236.10920634000001</v>
      </c>
      <c r="AL20" s="209">
        <f t="shared" si="5"/>
        <v>195.49953970000493</v>
      </c>
      <c r="AM20" s="209">
        <f t="shared" si="5"/>
        <v>203.65757635999998</v>
      </c>
      <c r="AN20" s="209">
        <f t="shared" si="5"/>
        <v>240.41605443000003</v>
      </c>
      <c r="AO20" s="209">
        <f t="shared" si="5"/>
        <v>205.00584963999998</v>
      </c>
      <c r="AP20" s="209">
        <f t="shared" si="5"/>
        <v>229.81335312000002</v>
      </c>
      <c r="AQ20" s="209">
        <f t="shared" si="5"/>
        <v>243.26438944999998</v>
      </c>
      <c r="AR20" s="209">
        <f t="shared" si="5"/>
        <v>269.15386191000005</v>
      </c>
      <c r="AS20" s="209">
        <f t="shared" si="5"/>
        <v>228.52739556000003</v>
      </c>
      <c r="AT20" s="33">
        <f t="shared" si="5"/>
        <v>224.33694528000007</v>
      </c>
      <c r="AU20" s="33">
        <f t="shared" si="5"/>
        <v>249.62406164000004</v>
      </c>
      <c r="AV20" s="33">
        <f t="shared" si="5"/>
        <v>235.90750973999997</v>
      </c>
      <c r="AW20" s="33">
        <f t="shared" si="5"/>
        <v>249.13340804999999</v>
      </c>
      <c r="AX20" s="33">
        <f t="shared" si="5"/>
        <v>227.89816841000004</v>
      </c>
      <c r="AY20" s="33">
        <f t="shared" si="5"/>
        <v>276.92451109999996</v>
      </c>
      <c r="AZ20" s="33">
        <f t="shared" si="5"/>
        <v>254.37062368999997</v>
      </c>
      <c r="BA20" s="33">
        <f t="shared" si="5"/>
        <v>286.35663617999995</v>
      </c>
      <c r="BB20" s="33">
        <f t="shared" si="5"/>
        <v>344.72487586999995</v>
      </c>
      <c r="BC20" s="33">
        <f t="shared" si="5"/>
        <v>335.96855066000001</v>
      </c>
      <c r="BD20" s="33">
        <f t="shared" si="5"/>
        <v>315.04760118000002</v>
      </c>
      <c r="BE20" s="33">
        <f t="shared" si="5"/>
        <v>326.73890926000007</v>
      </c>
      <c r="BF20" s="33">
        <f t="shared" si="5"/>
        <v>245.68302370999999</v>
      </c>
      <c r="BG20" s="33">
        <f t="shared" si="5"/>
        <v>269.3449103800001</v>
      </c>
      <c r="BH20" s="33">
        <f t="shared" si="5"/>
        <v>269.63524666000001</v>
      </c>
      <c r="BI20" s="33">
        <f t="shared" si="5"/>
        <v>315.07080330999997</v>
      </c>
      <c r="BJ20" s="33">
        <f t="shared" si="5"/>
        <v>333.70061885999996</v>
      </c>
      <c r="BK20" s="210">
        <f t="shared" si="5"/>
        <v>219.81828419999999</v>
      </c>
      <c r="BL20" s="210">
        <f t="shared" si="5"/>
        <v>380.22900338999995</v>
      </c>
      <c r="BM20" s="210">
        <f t="shared" si="5"/>
        <v>328.11379796000006</v>
      </c>
      <c r="BN20" s="210">
        <f t="shared" si="5"/>
        <v>330.31627604000005</v>
      </c>
      <c r="BO20" s="210">
        <f t="shared" si="5"/>
        <v>388.4332354099999</v>
      </c>
      <c r="BP20" s="210">
        <f t="shared" si="5"/>
        <v>411.39994410000003</v>
      </c>
      <c r="BQ20" s="210">
        <f t="shared" si="5"/>
        <v>471.73873040999996</v>
      </c>
      <c r="BR20" s="210">
        <f t="shared" si="5"/>
        <v>391.05903194999996</v>
      </c>
      <c r="BS20" s="210">
        <f t="shared" si="5"/>
        <v>430.48312501999993</v>
      </c>
      <c r="BT20" s="210">
        <f t="shared" si="5"/>
        <v>408.06947301000002</v>
      </c>
      <c r="BU20" s="210">
        <f t="shared" si="5"/>
        <v>378.07710987000007</v>
      </c>
      <c r="BV20" s="211">
        <f t="shared" si="5"/>
        <v>537.71127543</v>
      </c>
      <c r="BW20" s="156"/>
      <c r="BX20" s="213"/>
      <c r="BY20" s="156"/>
      <c r="BZ20" s="156"/>
      <c r="CA20" s="156"/>
      <c r="CB20" s="156"/>
      <c r="CC20" s="156"/>
      <c r="CD20" s="156"/>
      <c r="CE20" s="156"/>
      <c r="CF20" s="156"/>
      <c r="CG20" s="156"/>
      <c r="CH20" s="156"/>
      <c r="CI20" s="156"/>
      <c r="CJ20" s="156"/>
      <c r="CK20" s="156"/>
      <c r="CL20" s="156"/>
      <c r="CM20" s="156"/>
      <c r="CN20" s="156"/>
      <c r="CO20" s="156"/>
      <c r="CP20" s="157"/>
      <c r="CQ20" s="157"/>
      <c r="CR20" s="204"/>
      <c r="CS20" s="204"/>
      <c r="CT20" s="204"/>
      <c r="CU20" s="204"/>
      <c r="CV20" s="156"/>
      <c r="CW20" s="156"/>
      <c r="CX20" s="205"/>
      <c r="CY20" s="156"/>
      <c r="CZ20" s="156"/>
      <c r="DA20" s="156"/>
      <c r="DB20" s="156"/>
      <c r="DC20" s="156"/>
      <c r="DD20" s="156"/>
      <c r="DE20" s="156"/>
      <c r="DF20" s="156"/>
      <c r="DG20" s="156"/>
      <c r="DH20" s="156"/>
      <c r="DI20" s="156"/>
      <c r="DJ20" s="156"/>
      <c r="DV20" s="55"/>
      <c r="DW20" s="56"/>
      <c r="DY20" s="19"/>
      <c r="EA20" s="54"/>
      <c r="EB20" s="19"/>
    </row>
    <row r="21" spans="1:143" x14ac:dyDescent="0.2">
      <c r="A21" s="207"/>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5"/>
      <c r="BL21" s="215"/>
      <c r="BM21" s="215"/>
      <c r="BN21" s="215"/>
      <c r="BO21" s="215"/>
      <c r="BP21" s="215"/>
      <c r="BQ21" s="215"/>
      <c r="BR21" s="215"/>
      <c r="BS21" s="215"/>
      <c r="BT21" s="215"/>
      <c r="BU21" s="215"/>
      <c r="BV21" s="216"/>
      <c r="CP21" s="52"/>
      <c r="CR21" s="53"/>
      <c r="CV21" s="19"/>
      <c r="CX21" s="54"/>
      <c r="CY21" s="19"/>
      <c r="DV21" s="55"/>
      <c r="DW21" s="56"/>
      <c r="DY21" s="19"/>
      <c r="EA21" s="54"/>
      <c r="EB21" s="19"/>
      <c r="EH21" s="156"/>
      <c r="EI21" s="156"/>
      <c r="EJ21" s="217"/>
      <c r="EK21" s="217"/>
      <c r="EL21" s="217"/>
      <c r="EM21" s="217"/>
    </row>
    <row r="22" spans="1:143" x14ac:dyDescent="0.2">
      <c r="A22" s="218" t="s">
        <v>216</v>
      </c>
      <c r="B22" s="214"/>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5"/>
      <c r="BL22" s="215"/>
      <c r="BM22" s="215"/>
      <c r="BN22" s="215"/>
      <c r="BO22" s="215"/>
      <c r="BP22" s="215"/>
      <c r="BQ22" s="215"/>
      <c r="BR22" s="215"/>
      <c r="BS22" s="215"/>
      <c r="BT22" s="215"/>
      <c r="BU22" s="215"/>
      <c r="BV22" s="216"/>
      <c r="CP22" s="52"/>
      <c r="CR22" s="53"/>
      <c r="CV22" s="19"/>
      <c r="CX22" s="54"/>
      <c r="CY22" s="19"/>
      <c r="DV22" s="55"/>
      <c r="DW22" s="56"/>
      <c r="DY22" s="19"/>
      <c r="EA22" s="54"/>
      <c r="EB22" s="19"/>
      <c r="EH22" s="156"/>
      <c r="EI22" s="156"/>
      <c r="EJ22" s="219"/>
      <c r="EK22" s="219"/>
      <c r="EL22" s="219"/>
      <c r="EM22" s="219"/>
    </row>
    <row r="23" spans="1:143" x14ac:dyDescent="0.2">
      <c r="A23" s="207" t="s">
        <v>203</v>
      </c>
      <c r="B23" s="208">
        <f t="shared" ref="B23:F25" si="6">+BY5/1000</f>
        <v>370.35130499999997</v>
      </c>
      <c r="C23" s="208">
        <f t="shared" si="6"/>
        <v>370.60442999999998</v>
      </c>
      <c r="D23" s="208">
        <f t="shared" si="6"/>
        <v>369.32591100000002</v>
      </c>
      <c r="E23" s="208">
        <f t="shared" si="6"/>
        <v>366.20669600000002</v>
      </c>
      <c r="F23" s="208">
        <f t="shared" si="6"/>
        <v>386.66372999999999</v>
      </c>
      <c r="G23" s="208">
        <f t="shared" ref="G23:V25" si="7">+CE5/1000</f>
        <v>409.41570899999999</v>
      </c>
      <c r="H23" s="208">
        <f t="shared" si="7"/>
        <v>417.51600300000001</v>
      </c>
      <c r="I23" s="208">
        <f t="shared" si="7"/>
        <v>435.65417400000001</v>
      </c>
      <c r="J23" s="208">
        <f t="shared" si="7"/>
        <v>431.37290200000001</v>
      </c>
      <c r="K23" s="208">
        <f t="shared" si="7"/>
        <v>434.39315000000005</v>
      </c>
      <c r="L23" s="208">
        <f t="shared" si="7"/>
        <v>435.611266</v>
      </c>
      <c r="M23" s="209">
        <f t="shared" si="7"/>
        <v>424.85505599999999</v>
      </c>
      <c r="N23" s="209">
        <f t="shared" si="7"/>
        <v>426.715824</v>
      </c>
      <c r="O23" s="209">
        <f t="shared" si="7"/>
        <v>427.75877299999996</v>
      </c>
      <c r="P23" s="209">
        <f t="shared" si="7"/>
        <v>422.41211099999998</v>
      </c>
      <c r="Q23" s="209">
        <f t="shared" si="7"/>
        <v>417.82541499999996</v>
      </c>
      <c r="R23" s="209">
        <f t="shared" si="7"/>
        <v>418.06234899999998</v>
      </c>
      <c r="S23" s="209">
        <f t="shared" si="7"/>
        <v>438.94483500000001</v>
      </c>
      <c r="T23" s="209">
        <f t="shared" si="7"/>
        <v>464.04618499999998</v>
      </c>
      <c r="U23" s="209">
        <f t="shared" si="7"/>
        <v>515.93730699999992</v>
      </c>
      <c r="V23" s="209">
        <f t="shared" si="7"/>
        <v>581.77097900000001</v>
      </c>
      <c r="W23" s="209">
        <f t="shared" ref="W23:AL25" si="8">+CU5/1000</f>
        <v>640.47687699999994</v>
      </c>
      <c r="X23" s="209">
        <f t="shared" si="8"/>
        <v>722.26401399999997</v>
      </c>
      <c r="Y23" s="209">
        <f t="shared" si="8"/>
        <v>747.58729099999994</v>
      </c>
      <c r="Z23" s="209">
        <f t="shared" si="8"/>
        <v>811.81025499999998</v>
      </c>
      <c r="AA23" s="209">
        <f t="shared" si="8"/>
        <v>866.57671300000004</v>
      </c>
      <c r="AB23" s="209">
        <f t="shared" si="8"/>
        <v>919.69724800000006</v>
      </c>
      <c r="AC23" s="209">
        <f t="shared" si="8"/>
        <v>976.21967500000005</v>
      </c>
      <c r="AD23" s="209">
        <f t="shared" si="8"/>
        <v>1021.163325</v>
      </c>
      <c r="AE23" s="209">
        <f t="shared" si="8"/>
        <v>1062.5356750000001</v>
      </c>
      <c r="AF23" s="209">
        <f t="shared" si="8"/>
        <v>1083.5905889999999</v>
      </c>
      <c r="AG23" s="209">
        <f t="shared" si="8"/>
        <v>1068.7801910000001</v>
      </c>
      <c r="AH23" s="209">
        <f t="shared" si="8"/>
        <v>1028.700826</v>
      </c>
      <c r="AI23" s="209">
        <f t="shared" si="8"/>
        <v>969.34107299999994</v>
      </c>
      <c r="AJ23" s="209">
        <f t="shared" si="8"/>
        <v>927.87533600000006</v>
      </c>
      <c r="AK23" s="209">
        <f t="shared" si="8"/>
        <v>864.61790300000007</v>
      </c>
      <c r="AL23" s="209">
        <f t="shared" si="8"/>
        <v>857.47368400000005</v>
      </c>
      <c r="AM23" s="209">
        <f t="shared" ref="AM23:BB25" si="9">+DK5/1000</f>
        <v>854.856855</v>
      </c>
      <c r="AN23" s="209">
        <f t="shared" si="9"/>
        <v>862.83239500000002</v>
      </c>
      <c r="AO23" s="209">
        <f t="shared" si="9"/>
        <v>863.99526500000002</v>
      </c>
      <c r="AP23" s="209">
        <f t="shared" si="9"/>
        <v>846.95341899999994</v>
      </c>
      <c r="AQ23" s="209">
        <f t="shared" si="9"/>
        <v>850.47390700000005</v>
      </c>
      <c r="AR23" s="209">
        <f t="shared" si="9"/>
        <v>855.61013000000003</v>
      </c>
      <c r="AS23" s="209">
        <f t="shared" si="9"/>
        <v>888.00806499999999</v>
      </c>
      <c r="AT23" s="39">
        <f t="shared" si="9"/>
        <v>942.67739199999994</v>
      </c>
      <c r="AU23" s="39">
        <f t="shared" si="9"/>
        <v>998.69225100000006</v>
      </c>
      <c r="AV23" s="39">
        <f t="shared" si="9"/>
        <v>1019.8495529999999</v>
      </c>
      <c r="AW23" s="39">
        <f t="shared" si="9"/>
        <v>971.18968700000005</v>
      </c>
      <c r="AX23" s="39">
        <f t="shared" si="9"/>
        <v>967.64806199999998</v>
      </c>
      <c r="AY23" s="39">
        <f t="shared" si="9"/>
        <v>966.41943100000003</v>
      </c>
      <c r="AZ23" s="39">
        <f t="shared" si="9"/>
        <v>972.89654700000006</v>
      </c>
      <c r="BA23" s="39">
        <f t="shared" si="9"/>
        <v>984.61491599999999</v>
      </c>
      <c r="BB23" s="39">
        <f t="shared" si="9"/>
        <v>986.803674</v>
      </c>
      <c r="BC23" s="39">
        <f t="shared" ref="BC23:BR25" si="10">+EA5/1000</f>
        <v>1023.921336</v>
      </c>
      <c r="BD23" s="39">
        <f t="shared" si="10"/>
        <v>1033.0462029999999</v>
      </c>
      <c r="BE23" s="39">
        <f t="shared" si="10"/>
        <v>1023.275445</v>
      </c>
      <c r="BF23" s="39">
        <f t="shared" si="10"/>
        <v>1018.312547</v>
      </c>
      <c r="BG23" s="39">
        <f t="shared" si="10"/>
        <v>1015.6307439999999</v>
      </c>
      <c r="BH23" s="39">
        <f t="shared" si="10"/>
        <v>1038.246672</v>
      </c>
      <c r="BI23" s="39">
        <f t="shared" si="10"/>
        <v>1027.3431250000001</v>
      </c>
      <c r="BJ23" s="39">
        <f t="shared" si="10"/>
        <v>1001.7547929999999</v>
      </c>
      <c r="BK23" s="210">
        <f t="shared" si="10"/>
        <v>994.07779400000004</v>
      </c>
      <c r="BL23" s="210">
        <f t="shared" si="10"/>
        <v>985.077946</v>
      </c>
      <c r="BM23" s="210">
        <f t="shared" si="10"/>
        <v>982.28008799999998</v>
      </c>
      <c r="BN23" s="210">
        <f t="shared" si="10"/>
        <v>956.10723899999994</v>
      </c>
      <c r="BO23" s="210">
        <f t="shared" si="10"/>
        <v>977.53084899999999</v>
      </c>
      <c r="BP23" s="210">
        <f t="shared" si="10"/>
        <v>975.35962699999993</v>
      </c>
      <c r="BQ23" s="210">
        <f t="shared" si="10"/>
        <v>984.01046400000007</v>
      </c>
      <c r="BR23" s="210">
        <f t="shared" si="10"/>
        <v>1012.684168</v>
      </c>
      <c r="BS23" s="210">
        <f t="shared" ref="BS23:BV25" si="11">+EQ5/1000</f>
        <v>1018.9805779999999</v>
      </c>
      <c r="BT23" s="210">
        <f t="shared" si="11"/>
        <v>1030.2289740000001</v>
      </c>
      <c r="BU23" s="210">
        <f t="shared" si="11"/>
        <v>1038.3634379999999</v>
      </c>
      <c r="BV23" s="211">
        <f>+ET5/1000</f>
        <v>1028.6240520000001</v>
      </c>
      <c r="CO23" s="52"/>
      <c r="CP23" s="52"/>
      <c r="CQ23" s="53"/>
      <c r="CR23" s="53"/>
      <c r="CU23" s="19"/>
      <c r="CV23" s="19"/>
      <c r="CW23" s="54"/>
      <c r="CY23" s="19"/>
      <c r="DU23" s="55"/>
      <c r="DV23" s="56"/>
      <c r="DW23" s="56"/>
      <c r="DX23" s="19"/>
      <c r="DY23" s="19"/>
      <c r="DZ23" s="54"/>
      <c r="EB23" s="19"/>
      <c r="EH23" s="156"/>
      <c r="EI23" s="220"/>
      <c r="EJ23" s="156"/>
      <c r="EK23" s="156"/>
      <c r="EL23" s="156"/>
      <c r="EM23" s="156"/>
    </row>
    <row r="24" spans="1:143" x14ac:dyDescent="0.2">
      <c r="A24" s="207" t="s">
        <v>204</v>
      </c>
      <c r="B24" s="208">
        <f t="shared" si="6"/>
        <v>-116.34093549000001</v>
      </c>
      <c r="C24" s="208">
        <f t="shared" si="6"/>
        <v>-115.46387869</v>
      </c>
      <c r="D24" s="208">
        <f t="shared" si="6"/>
        <v>-156.87980205999997</v>
      </c>
      <c r="E24" s="208">
        <f t="shared" si="6"/>
        <v>-178.12350195000002</v>
      </c>
      <c r="F24" s="208">
        <f t="shared" si="6"/>
        <v>-78.34048473</v>
      </c>
      <c r="G24" s="208">
        <f t="shared" si="7"/>
        <v>-119.19265879</v>
      </c>
      <c r="H24" s="208">
        <f t="shared" si="7"/>
        <v>-176.46624496000001</v>
      </c>
      <c r="I24" s="208">
        <f t="shared" si="7"/>
        <v>-132.57169032000002</v>
      </c>
      <c r="J24" s="208">
        <f t="shared" si="7"/>
        <v>-202.21889605999999</v>
      </c>
      <c r="K24" s="208">
        <f t="shared" si="7"/>
        <v>-221.41438208999998</v>
      </c>
      <c r="L24" s="208">
        <f t="shared" si="7"/>
        <v>-231.70526524000002</v>
      </c>
      <c r="M24" s="209">
        <f t="shared" si="7"/>
        <v>-231.50945668</v>
      </c>
      <c r="N24" s="209">
        <f t="shared" si="7"/>
        <v>-219.44086997000002</v>
      </c>
      <c r="O24" s="209">
        <f t="shared" si="7"/>
        <v>-234.28368321000008</v>
      </c>
      <c r="P24" s="209">
        <f t="shared" si="7"/>
        <v>-220.89778038</v>
      </c>
      <c r="Q24" s="209">
        <f t="shared" si="7"/>
        <v>-184.22967098999999</v>
      </c>
      <c r="R24" s="209">
        <f t="shared" si="7"/>
        <v>-91.801547749999997</v>
      </c>
      <c r="S24" s="209">
        <f t="shared" si="7"/>
        <v>66.288350310000055</v>
      </c>
      <c r="T24" s="209">
        <f t="shared" si="7"/>
        <v>187.82088710000005</v>
      </c>
      <c r="U24" s="209">
        <f t="shared" si="7"/>
        <v>352.13410580999999</v>
      </c>
      <c r="V24" s="209">
        <f t="shared" si="7"/>
        <v>583.09062368999992</v>
      </c>
      <c r="W24" s="209">
        <f t="shared" si="8"/>
        <v>793.31086387999994</v>
      </c>
      <c r="X24" s="209">
        <f t="shared" si="8"/>
        <v>981.90841535000004</v>
      </c>
      <c r="Y24" s="209">
        <f t="shared" si="8"/>
        <v>1170.0570025899999</v>
      </c>
      <c r="Z24" s="209">
        <f t="shared" si="8"/>
        <v>1337.38307121</v>
      </c>
      <c r="AA24" s="209">
        <f t="shared" si="8"/>
        <v>1442.18716918</v>
      </c>
      <c r="AB24" s="209">
        <f t="shared" si="8"/>
        <v>1551.2099535399996</v>
      </c>
      <c r="AC24" s="209">
        <f t="shared" si="8"/>
        <v>1600.31142389</v>
      </c>
      <c r="AD24" s="209">
        <f t="shared" si="8"/>
        <v>1534.9551059099999</v>
      </c>
      <c r="AE24" s="209">
        <f t="shared" si="8"/>
        <v>1491.74911163</v>
      </c>
      <c r="AF24" s="209">
        <f t="shared" si="8"/>
        <v>1481.46015822</v>
      </c>
      <c r="AG24" s="209">
        <f t="shared" si="8"/>
        <v>1355.5518416699997</v>
      </c>
      <c r="AH24" s="209">
        <f t="shared" si="8"/>
        <v>1204.0865746699999</v>
      </c>
      <c r="AI24" s="209">
        <f t="shared" si="8"/>
        <v>1030.4834750699997</v>
      </c>
      <c r="AJ24" s="209">
        <f t="shared" si="8"/>
        <v>868.4207916900001</v>
      </c>
      <c r="AK24" s="209">
        <f t="shared" si="8"/>
        <v>832.75636194000003</v>
      </c>
      <c r="AL24" s="209">
        <f t="shared" si="8"/>
        <v>792.99784243999989</v>
      </c>
      <c r="AM24" s="209">
        <f t="shared" si="9"/>
        <v>785.43802960999983</v>
      </c>
      <c r="AN24" s="209">
        <f t="shared" si="9"/>
        <v>811.88166775000002</v>
      </c>
      <c r="AO24" s="209">
        <f t="shared" si="9"/>
        <v>858.90515241000014</v>
      </c>
      <c r="AP24" s="209">
        <f t="shared" si="9"/>
        <v>829.01719350000008</v>
      </c>
      <c r="AQ24" s="209">
        <f t="shared" si="9"/>
        <v>836.23665498999992</v>
      </c>
      <c r="AR24" s="209">
        <f t="shared" si="9"/>
        <v>909.79246155999999</v>
      </c>
      <c r="AS24" s="209">
        <f t="shared" si="9"/>
        <v>1005.91680374</v>
      </c>
      <c r="AT24" s="39">
        <f t="shared" si="9"/>
        <v>1103.8132834099999</v>
      </c>
      <c r="AU24" s="39">
        <f>+DS6/1000</f>
        <v>1156.4032891399997</v>
      </c>
      <c r="AV24" s="39">
        <f t="shared" si="9"/>
        <v>1170.6154654300001</v>
      </c>
      <c r="AW24" s="39">
        <f t="shared" si="9"/>
        <v>1166.7869884699999</v>
      </c>
      <c r="AX24" s="39">
        <f t="shared" si="9"/>
        <v>1184.1383247700001</v>
      </c>
      <c r="AY24" s="39">
        <f t="shared" si="9"/>
        <v>1199.7534999</v>
      </c>
      <c r="AZ24" s="39">
        <f t="shared" si="9"/>
        <v>1228.1515057099998</v>
      </c>
      <c r="BA24" s="39">
        <f t="shared" si="9"/>
        <v>1285.9695891599997</v>
      </c>
      <c r="BB24" s="39">
        <f t="shared" si="9"/>
        <v>1349.50024108</v>
      </c>
      <c r="BC24" s="39">
        <f t="shared" si="10"/>
        <v>1437.00096248</v>
      </c>
      <c r="BD24" s="39">
        <f t="shared" si="10"/>
        <v>1457.5610477299999</v>
      </c>
      <c r="BE24" s="39">
        <f t="shared" si="10"/>
        <v>1535.8827732500001</v>
      </c>
      <c r="BF24" s="39">
        <f t="shared" si="10"/>
        <v>1631.5790660100001</v>
      </c>
      <c r="BG24" s="39">
        <f t="shared" si="10"/>
        <v>1633.7059862999999</v>
      </c>
      <c r="BH24" s="39">
        <f t="shared" si="10"/>
        <v>1670.8190072899999</v>
      </c>
      <c r="BI24" s="39">
        <f t="shared" si="10"/>
        <v>1683.4629213299997</v>
      </c>
      <c r="BJ24" s="39">
        <f t="shared" si="10"/>
        <v>1716.4503910299998</v>
      </c>
      <c r="BK24" s="210">
        <f t="shared" si="10"/>
        <v>1702.1014510999996</v>
      </c>
      <c r="BL24" s="210">
        <f t="shared" si="10"/>
        <v>1696.2916636099997</v>
      </c>
      <c r="BM24" s="210">
        <f t="shared" si="10"/>
        <v>1661.1978257800001</v>
      </c>
      <c r="BN24" s="210">
        <f t="shared" si="10"/>
        <v>1567.7642623299998</v>
      </c>
      <c r="BO24" s="210">
        <f t="shared" si="10"/>
        <v>1512.0719311599998</v>
      </c>
      <c r="BP24" s="210">
        <f t="shared" si="10"/>
        <v>1477.4527748199998</v>
      </c>
      <c r="BQ24" s="210">
        <f t="shared" si="10"/>
        <v>1456.50652414</v>
      </c>
      <c r="BR24" s="210">
        <f t="shared" si="10"/>
        <v>1503.5175870399999</v>
      </c>
      <c r="BS24" s="210">
        <f t="shared" si="11"/>
        <v>1500.45250693</v>
      </c>
      <c r="BT24" s="210">
        <f t="shared" si="11"/>
        <v>1549.1497993600001</v>
      </c>
      <c r="BU24" s="210">
        <f t="shared" si="11"/>
        <v>1559.7839339899999</v>
      </c>
      <c r="BV24" s="211">
        <f t="shared" si="11"/>
        <v>1584.1150489099996</v>
      </c>
      <c r="CO24" s="52"/>
      <c r="CP24" s="52"/>
      <c r="CQ24" s="53"/>
      <c r="CR24" s="53"/>
      <c r="CU24" s="19"/>
      <c r="CV24" s="19"/>
      <c r="CW24" s="54"/>
      <c r="CY24" s="19"/>
      <c r="DU24" s="55"/>
      <c r="DV24" s="56"/>
      <c r="DW24" s="56"/>
      <c r="DX24" s="19"/>
      <c r="DY24" s="19"/>
      <c r="DZ24" s="54"/>
      <c r="EB24" s="19"/>
    </row>
    <row r="25" spans="1:143" x14ac:dyDescent="0.2">
      <c r="A25" s="207" t="s">
        <v>86</v>
      </c>
      <c r="B25" s="221">
        <f t="shared" si="6"/>
        <v>335.47635163000001</v>
      </c>
      <c r="C25" s="221">
        <f t="shared" si="6"/>
        <v>329.79497639000004</v>
      </c>
      <c r="D25" s="221">
        <f t="shared" si="6"/>
        <v>322.25415233000001</v>
      </c>
      <c r="E25" s="221">
        <f t="shared" si="6"/>
        <v>314.18917206999998</v>
      </c>
      <c r="F25" s="221">
        <f t="shared" si="6"/>
        <v>382.81192427000002</v>
      </c>
      <c r="G25" s="221">
        <f t="shared" si="7"/>
        <v>407.44716318999997</v>
      </c>
      <c r="H25" s="221">
        <f t="shared" si="7"/>
        <v>399.38352215999998</v>
      </c>
      <c r="I25" s="221">
        <f t="shared" si="7"/>
        <v>433.33377007000001</v>
      </c>
      <c r="J25" s="221">
        <f t="shared" si="7"/>
        <v>425.40587728000003</v>
      </c>
      <c r="K25" s="221">
        <f t="shared" si="7"/>
        <v>479.90600789000013</v>
      </c>
      <c r="L25" s="221">
        <f t="shared" si="7"/>
        <v>522.94078075000004</v>
      </c>
      <c r="M25" s="222">
        <f t="shared" si="7"/>
        <v>526.96109922000005</v>
      </c>
      <c r="N25" s="222">
        <f t="shared" si="7"/>
        <v>526.25386603000004</v>
      </c>
      <c r="O25" s="222">
        <f t="shared" si="7"/>
        <v>537.85350993000009</v>
      </c>
      <c r="P25" s="222">
        <f t="shared" si="7"/>
        <v>581.62973014000022</v>
      </c>
      <c r="Q25" s="222">
        <f t="shared" si="7"/>
        <v>521.99795516000006</v>
      </c>
      <c r="R25" s="222">
        <f t="shared" si="7"/>
        <v>565.01932636000015</v>
      </c>
      <c r="S25" s="222">
        <f t="shared" si="7"/>
        <v>655.90295900000012</v>
      </c>
      <c r="T25" s="222">
        <f t="shared" si="7"/>
        <v>741.25178152000001</v>
      </c>
      <c r="U25" s="222">
        <f t="shared" si="7"/>
        <v>855.51308079</v>
      </c>
      <c r="V25" s="222">
        <f t="shared" si="7"/>
        <v>922.40399244999981</v>
      </c>
      <c r="W25" s="222">
        <f t="shared" si="8"/>
        <v>1030.3944843199997</v>
      </c>
      <c r="X25" s="222">
        <f t="shared" si="8"/>
        <v>1178.5090785799998</v>
      </c>
      <c r="Y25" s="222">
        <f t="shared" si="8"/>
        <v>1303.2590137100001</v>
      </c>
      <c r="Z25" s="222">
        <f t="shared" si="8"/>
        <v>1396.0274648799998</v>
      </c>
      <c r="AA25" s="222">
        <f t="shared" si="8"/>
        <v>1519.6339072699998</v>
      </c>
      <c r="AB25" s="222">
        <f t="shared" si="8"/>
        <v>1731.5121054399999</v>
      </c>
      <c r="AC25" s="222">
        <f t="shared" si="8"/>
        <v>1829.2384600499997</v>
      </c>
      <c r="AD25" s="222">
        <f t="shared" si="8"/>
        <v>1816.6796701799999</v>
      </c>
      <c r="AE25" s="222">
        <f t="shared" si="8"/>
        <v>1863.5851304699997</v>
      </c>
      <c r="AF25" s="222">
        <f t="shared" si="8"/>
        <v>1894.65027267</v>
      </c>
      <c r="AG25" s="222">
        <f t="shared" si="8"/>
        <v>1902.6696449400001</v>
      </c>
      <c r="AH25" s="222">
        <f t="shared" si="8"/>
        <v>1909.7641732900001</v>
      </c>
      <c r="AI25" s="222">
        <f t="shared" si="8"/>
        <v>1788.1620113299998</v>
      </c>
      <c r="AJ25" s="222">
        <f t="shared" si="8"/>
        <v>1718.3199483399997</v>
      </c>
      <c r="AK25" s="222">
        <f t="shared" si="8"/>
        <v>1748.2136401399998</v>
      </c>
      <c r="AL25" s="222">
        <f t="shared" si="8"/>
        <v>1786.7669659899998</v>
      </c>
      <c r="AM25" s="222">
        <f t="shared" si="9"/>
        <v>1795.878923410005</v>
      </c>
      <c r="AN25" s="222">
        <f t="shared" si="9"/>
        <v>1821.571170750005</v>
      </c>
      <c r="AO25" s="222">
        <f t="shared" si="9"/>
        <v>1940.2703582300051</v>
      </c>
      <c r="AP25" s="222">
        <f t="shared" si="9"/>
        <v>1929.5217668600051</v>
      </c>
      <c r="AQ25" s="222">
        <f t="shared" si="9"/>
        <v>1975.4052488600053</v>
      </c>
      <c r="AR25" s="222">
        <f>+DP7/1000</f>
        <v>2063.9226358700053</v>
      </c>
      <c r="AS25" s="222">
        <f>+DQ7/1000</f>
        <v>2151.1945427400051</v>
      </c>
      <c r="AT25" s="223">
        <f t="shared" si="9"/>
        <v>2322.921709100005</v>
      </c>
      <c r="AU25" s="223">
        <f t="shared" si="9"/>
        <v>2448.2828367900047</v>
      </c>
      <c r="AV25" s="223">
        <f t="shared" si="9"/>
        <v>2525.4082334300042</v>
      </c>
      <c r="AW25" s="223">
        <f t="shared" si="9"/>
        <v>2525.2065368300041</v>
      </c>
      <c r="AX25" s="223">
        <f t="shared" si="9"/>
        <v>2578.8404051800003</v>
      </c>
      <c r="AY25" s="223">
        <f t="shared" si="9"/>
        <v>2603.0809972300008</v>
      </c>
      <c r="AZ25" s="223">
        <f t="shared" si="9"/>
        <v>2639.5894539000005</v>
      </c>
      <c r="BA25" s="223">
        <f t="shared" si="9"/>
        <v>2688.9542279500001</v>
      </c>
      <c r="BB25" s="223">
        <f t="shared" si="9"/>
        <v>2745.4975110100004</v>
      </c>
      <c r="BC25" s="223">
        <f t="shared" si="10"/>
        <v>2846.9579974299995</v>
      </c>
      <c r="BD25" s="223">
        <f t="shared" si="10"/>
        <v>2913.7726861799988</v>
      </c>
      <c r="BE25" s="223">
        <f t="shared" si="10"/>
        <v>3000.2928917999993</v>
      </c>
      <c r="BF25" s="223">
        <f t="shared" si="10"/>
        <v>3102.6948557799992</v>
      </c>
      <c r="BG25" s="223">
        <f t="shared" si="10"/>
        <v>3098.7538178499995</v>
      </c>
      <c r="BH25" s="223">
        <f t="shared" si="10"/>
        <v>3132.1912184899988</v>
      </c>
      <c r="BI25" s="223">
        <f t="shared" si="10"/>
        <v>3152.6930571000003</v>
      </c>
      <c r="BJ25" s="223">
        <f t="shared" si="10"/>
        <v>3239.8656919999994</v>
      </c>
      <c r="BK25" s="224">
        <f t="shared" si="10"/>
        <v>3296.6417997599997</v>
      </c>
      <c r="BL25" s="224">
        <f t="shared" si="10"/>
        <v>3262.0894602700005</v>
      </c>
      <c r="BM25" s="224">
        <f t="shared" si="10"/>
        <v>3355.96182748</v>
      </c>
      <c r="BN25" s="224">
        <f t="shared" si="10"/>
        <v>3339.3507495699992</v>
      </c>
      <c r="BO25" s="224">
        <f t="shared" si="10"/>
        <v>3333.6984749499984</v>
      </c>
      <c r="BP25" s="224">
        <f t="shared" si="10"/>
        <v>3407.0841091800003</v>
      </c>
      <c r="BQ25" s="224">
        <f t="shared" si="10"/>
        <v>3491.7451440200007</v>
      </c>
      <c r="BR25" s="224">
        <f t="shared" si="10"/>
        <v>3717.8008507200011</v>
      </c>
      <c r="BS25" s="224">
        <f t="shared" si="11"/>
        <v>3839.5149722900001</v>
      </c>
      <c r="BT25" s="224">
        <f t="shared" si="11"/>
        <v>4000.362850649999</v>
      </c>
      <c r="BU25" s="224">
        <f t="shared" si="11"/>
        <v>4093.3615203499994</v>
      </c>
      <c r="BV25" s="225">
        <f t="shared" si="11"/>
        <v>4137.7380113599993</v>
      </c>
      <c r="CO25" s="52"/>
      <c r="CP25" s="52"/>
      <c r="CQ25" s="53"/>
      <c r="CR25" s="53"/>
      <c r="CU25" s="19"/>
      <c r="CV25" s="19"/>
      <c r="CW25" s="54"/>
      <c r="CY25" s="19"/>
      <c r="DU25" s="55"/>
      <c r="DV25" s="56"/>
      <c r="DW25" s="56"/>
      <c r="DX25" s="19"/>
      <c r="DY25" s="19"/>
      <c r="DZ25" s="54"/>
      <c r="EB25" s="19"/>
    </row>
    <row r="26" spans="1:143" x14ac:dyDescent="0.2">
      <c r="A26" s="207"/>
      <c r="B26" s="214"/>
      <c r="C26" s="214"/>
      <c r="D26" s="214"/>
      <c r="E26" s="214"/>
      <c r="F26" s="214"/>
      <c r="G26" s="214"/>
      <c r="H26" s="214"/>
      <c r="I26" s="214"/>
      <c r="J26" s="214"/>
      <c r="K26" s="214"/>
      <c r="L26" s="214"/>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42"/>
      <c r="AU26" s="42"/>
      <c r="AV26" s="42"/>
      <c r="AW26" s="42"/>
      <c r="AX26" s="42"/>
      <c r="AY26" s="42"/>
      <c r="AZ26" s="42"/>
      <c r="BA26" s="42"/>
      <c r="BB26" s="42"/>
      <c r="BC26" s="42"/>
      <c r="BD26" s="42"/>
      <c r="BE26" s="42"/>
      <c r="BF26" s="42"/>
      <c r="BG26" s="42"/>
      <c r="BH26" s="42"/>
      <c r="BI26" s="42"/>
      <c r="BJ26" s="42"/>
      <c r="BK26" s="226"/>
      <c r="BL26" s="226"/>
      <c r="BM26" s="226"/>
      <c r="BN26" s="226"/>
      <c r="BO26" s="226"/>
      <c r="BP26" s="226"/>
      <c r="BQ26" s="226"/>
      <c r="BR26" s="226"/>
      <c r="BS26" s="226"/>
      <c r="BT26" s="227"/>
      <c r="BU26" s="227"/>
      <c r="BV26" s="228"/>
      <c r="CO26" s="52"/>
      <c r="CP26" s="52"/>
      <c r="CQ26" s="53"/>
      <c r="CR26" s="53"/>
      <c r="CU26" s="19"/>
      <c r="CV26" s="19"/>
      <c r="CW26" s="54"/>
      <c r="CY26" s="19"/>
      <c r="DU26" s="55"/>
      <c r="DV26" s="56"/>
      <c r="DW26" s="56"/>
      <c r="DX26" s="19"/>
      <c r="DY26" s="19"/>
      <c r="DZ26" s="54"/>
      <c r="EB26" s="19"/>
    </row>
    <row r="27" spans="1:143" x14ac:dyDescent="0.2">
      <c r="A27" s="229" t="s">
        <v>87</v>
      </c>
      <c r="B27" s="230">
        <f t="shared" ref="B27:BM27" si="12">SUM(B18:B25)</f>
        <v>630.93988616000001</v>
      </c>
      <c r="C27" s="230">
        <f t="shared" si="12"/>
        <v>664.5970915800001</v>
      </c>
      <c r="D27" s="230">
        <f t="shared" si="12"/>
        <v>595.26981732000013</v>
      </c>
      <c r="E27" s="230">
        <f t="shared" si="12"/>
        <v>619.78818625999997</v>
      </c>
      <c r="F27" s="230">
        <f t="shared" si="12"/>
        <v>735.15523075999999</v>
      </c>
      <c r="G27" s="231">
        <f t="shared" si="12"/>
        <v>762.97475740999994</v>
      </c>
      <c r="H27" s="231">
        <f t="shared" si="12"/>
        <v>814.50355007999997</v>
      </c>
      <c r="I27" s="231">
        <f t="shared" si="12"/>
        <v>735.20906119999995</v>
      </c>
      <c r="J27" s="231">
        <f t="shared" si="12"/>
        <v>696.80539174</v>
      </c>
      <c r="K27" s="231">
        <f t="shared" si="12"/>
        <v>782.85338728000011</v>
      </c>
      <c r="L27" s="231">
        <f t="shared" si="12"/>
        <v>761.75986355999999</v>
      </c>
      <c r="M27" s="232">
        <f t="shared" si="12"/>
        <v>813.19038394000006</v>
      </c>
      <c r="N27" s="232">
        <f t="shared" si="12"/>
        <v>791.89815577000002</v>
      </c>
      <c r="O27" s="232">
        <f t="shared" si="12"/>
        <v>900.65988089999996</v>
      </c>
      <c r="P27" s="232">
        <f t="shared" si="12"/>
        <v>799.61376039000015</v>
      </c>
      <c r="Q27" s="232">
        <f t="shared" si="12"/>
        <v>904.52500147000001</v>
      </c>
      <c r="R27" s="232">
        <f t="shared" si="12"/>
        <v>1226.4406883200002</v>
      </c>
      <c r="S27" s="232">
        <f t="shared" si="12"/>
        <v>1567.1891235000003</v>
      </c>
      <c r="T27" s="232">
        <f t="shared" si="12"/>
        <v>1722.3773010500001</v>
      </c>
      <c r="U27" s="232">
        <f t="shared" si="12"/>
        <v>2129.5111036600001</v>
      </c>
      <c r="V27" s="232">
        <f t="shared" si="12"/>
        <v>2554.1508366799999</v>
      </c>
      <c r="W27" s="232">
        <f t="shared" si="12"/>
        <v>2917.5945899799999</v>
      </c>
      <c r="X27" s="232">
        <f t="shared" si="12"/>
        <v>3313.7869926999997</v>
      </c>
      <c r="Y27" s="232">
        <f t="shared" si="12"/>
        <v>3603.5901268000002</v>
      </c>
      <c r="Z27" s="232">
        <f t="shared" si="12"/>
        <v>3997.72907063</v>
      </c>
      <c r="AA27" s="232">
        <f t="shared" si="12"/>
        <v>4218.8890066099993</v>
      </c>
      <c r="AB27" s="232">
        <f t="shared" si="12"/>
        <v>4554.7008612399995</v>
      </c>
      <c r="AC27" s="232">
        <f t="shared" si="12"/>
        <v>4707.9586618000003</v>
      </c>
      <c r="AD27" s="232">
        <f t="shared" si="12"/>
        <v>4823.9228962899997</v>
      </c>
      <c r="AE27" s="232">
        <f t="shared" si="12"/>
        <v>4788.9594673199999</v>
      </c>
      <c r="AF27" s="232">
        <f t="shared" si="12"/>
        <v>4732.9282876699999</v>
      </c>
      <c r="AG27" s="232">
        <f t="shared" si="12"/>
        <v>4609.4368154999993</v>
      </c>
      <c r="AH27" s="232">
        <f t="shared" si="12"/>
        <v>4241.39892418</v>
      </c>
      <c r="AI27" s="232">
        <f t="shared" si="12"/>
        <v>3945.7215607999997</v>
      </c>
      <c r="AJ27" s="232">
        <f t="shared" si="12"/>
        <v>3828.2747245800001</v>
      </c>
      <c r="AK27" s="232">
        <f t="shared" si="12"/>
        <v>3889.7467719700003</v>
      </c>
      <c r="AL27" s="232">
        <f t="shared" si="12"/>
        <v>3826.6650251800047</v>
      </c>
      <c r="AM27" s="232">
        <f t="shared" si="12"/>
        <v>3848.5667877600049</v>
      </c>
      <c r="AN27" s="232">
        <f t="shared" si="12"/>
        <v>3965.3598785000049</v>
      </c>
      <c r="AO27" s="232">
        <f t="shared" si="12"/>
        <v>4056.617174560005</v>
      </c>
      <c r="AP27" s="232">
        <f t="shared" si="12"/>
        <v>4033.205361070005</v>
      </c>
      <c r="AQ27" s="232">
        <f t="shared" si="12"/>
        <v>4102.552495210005</v>
      </c>
      <c r="AR27" s="232">
        <f t="shared" si="12"/>
        <v>4327.5545493700056</v>
      </c>
      <c r="AS27" s="232">
        <f t="shared" si="12"/>
        <v>4468.2597347300052</v>
      </c>
      <c r="AT27" s="233">
        <f t="shared" si="12"/>
        <v>4761.1133783300047</v>
      </c>
      <c r="AU27" s="234">
        <f t="shared" si="12"/>
        <v>5029.5319004100047</v>
      </c>
      <c r="AV27" s="234">
        <f t="shared" si="12"/>
        <v>5107.3420791900044</v>
      </c>
      <c r="AW27" s="234">
        <f t="shared" si="12"/>
        <v>5120.0533247000039</v>
      </c>
      <c r="AX27" s="234">
        <f t="shared" si="12"/>
        <v>5181.6469078700011</v>
      </c>
      <c r="AY27" s="234">
        <f t="shared" si="12"/>
        <v>5309.7121516100015</v>
      </c>
      <c r="AZ27" s="234">
        <f t="shared" si="12"/>
        <v>5352.9851320300004</v>
      </c>
      <c r="BA27" s="234">
        <f t="shared" si="12"/>
        <v>5509.5144077999994</v>
      </c>
      <c r="BB27" s="234">
        <f t="shared" si="12"/>
        <v>5748.3169802700004</v>
      </c>
      <c r="BC27" s="234">
        <f t="shared" si="12"/>
        <v>5902.6092588499996</v>
      </c>
      <c r="BD27" s="234">
        <f t="shared" si="12"/>
        <v>5982.5914332999982</v>
      </c>
      <c r="BE27" s="234">
        <f t="shared" si="12"/>
        <v>6144.2874626100001</v>
      </c>
      <c r="BF27" s="234">
        <f t="shared" si="12"/>
        <v>6174.2440716299989</v>
      </c>
      <c r="BG27" s="234">
        <f t="shared" si="12"/>
        <v>6232.72572511</v>
      </c>
      <c r="BH27" s="234">
        <f t="shared" si="12"/>
        <v>6320.3692158299982</v>
      </c>
      <c r="BI27" s="234">
        <f t="shared" si="12"/>
        <v>6409.09099195</v>
      </c>
      <c r="BJ27" s="234">
        <f t="shared" si="12"/>
        <v>6533.2792683399994</v>
      </c>
      <c r="BK27" s="235">
        <f t="shared" si="12"/>
        <v>6455.8066952999998</v>
      </c>
      <c r="BL27" s="235">
        <f t="shared" si="12"/>
        <v>6549.4154159499994</v>
      </c>
      <c r="BM27" s="235">
        <f t="shared" si="12"/>
        <v>6529.7378050799998</v>
      </c>
      <c r="BN27" s="235">
        <f t="shared" ref="BN27:BT27" si="13">SUM(BN18:BN25)</f>
        <v>6418.0302180499984</v>
      </c>
      <c r="BO27" s="235">
        <f t="shared" si="13"/>
        <v>6438.1080073899975</v>
      </c>
      <c r="BP27" s="235">
        <f t="shared" si="13"/>
        <v>6517.0984847199998</v>
      </c>
      <c r="BQ27" s="235">
        <f t="shared" si="13"/>
        <v>6655.6602086000003</v>
      </c>
      <c r="BR27" s="235">
        <f t="shared" si="13"/>
        <v>6843.5832341800015</v>
      </c>
      <c r="BS27" s="235">
        <f t="shared" si="13"/>
        <v>7058.85394206</v>
      </c>
      <c r="BT27" s="235">
        <f t="shared" si="13"/>
        <v>7237.1007808599988</v>
      </c>
      <c r="BU27" s="235">
        <f>SUM(BU18:BU25)</f>
        <v>7325.6855045799994</v>
      </c>
      <c r="BV27" s="236">
        <f>SUM(BV18:BV25)</f>
        <v>7597.4763076599993</v>
      </c>
      <c r="CO27" s="52"/>
      <c r="CP27" s="52"/>
      <c r="CQ27" s="53"/>
      <c r="CR27" s="53"/>
      <c r="CU27" s="19"/>
      <c r="CV27" s="19"/>
      <c r="CW27" s="54"/>
      <c r="CY27" s="19"/>
      <c r="DU27" s="55"/>
      <c r="DV27" s="56"/>
      <c r="DW27" s="56"/>
      <c r="DX27" s="19"/>
      <c r="DY27" s="19"/>
      <c r="DZ27" s="54"/>
      <c r="EB27" s="19"/>
    </row>
    <row r="28" spans="1:143" x14ac:dyDescent="0.2">
      <c r="B28" s="165"/>
      <c r="C28" s="165"/>
      <c r="D28" s="165"/>
      <c r="E28" s="165"/>
      <c r="F28" s="165"/>
      <c r="G28" s="165"/>
      <c r="H28" s="165"/>
      <c r="I28" s="165"/>
      <c r="J28" s="165"/>
      <c r="K28" s="165"/>
      <c r="L28" s="165"/>
      <c r="M28" s="165"/>
      <c r="N28" s="165"/>
      <c r="O28" s="165"/>
      <c r="P28" s="165"/>
      <c r="Q28" s="165"/>
      <c r="R28" s="165"/>
      <c r="S28" s="165"/>
      <c r="T28" s="165"/>
      <c r="U28" s="165"/>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237"/>
      <c r="BS28" s="237"/>
      <c r="BT28" s="237"/>
      <c r="BU28" s="237"/>
      <c r="BV28" s="237"/>
      <c r="CP28" s="52"/>
      <c r="CR28" s="53"/>
      <c r="CV28" s="19"/>
      <c r="CX28" s="54"/>
      <c r="CY28" s="19"/>
      <c r="DM28" s="19" t="s">
        <v>217</v>
      </c>
      <c r="DV28" s="55"/>
      <c r="DW28" s="56"/>
      <c r="DY28" s="19"/>
      <c r="EA28" s="54"/>
      <c r="EB28" s="19"/>
    </row>
    <row r="29" spans="1:143" x14ac:dyDescent="0.2">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5"/>
      <c r="BR29" s="165"/>
      <c r="BS29" s="165"/>
      <c r="BT29" s="165"/>
      <c r="BU29" s="165"/>
      <c r="BV29" s="165"/>
    </row>
    <row r="30" spans="1:143" x14ac:dyDescent="0.2">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5"/>
      <c r="BI30" s="165"/>
      <c r="BJ30" s="165"/>
      <c r="BK30" s="165"/>
      <c r="BL30" s="165"/>
      <c r="BM30" s="165"/>
      <c r="BN30" s="165"/>
      <c r="BO30" s="165"/>
      <c r="BP30" s="165"/>
      <c r="BQ30" s="165"/>
      <c r="BR30" s="165"/>
      <c r="BS30" s="165"/>
      <c r="BT30" s="165"/>
      <c r="BU30" s="165"/>
      <c r="BV30" s="165"/>
    </row>
    <row r="32" spans="1:143" ht="15" x14ac:dyDescent="0.25">
      <c r="DX32" s="238"/>
      <c r="DY32" s="238"/>
      <c r="DZ32" s="239"/>
      <c r="EA32" s="239"/>
      <c r="EB32" s="240"/>
      <c r="EC32" s="239"/>
    </row>
    <row r="46" spans="138:140" x14ac:dyDescent="0.2">
      <c r="EJ46" s="241"/>
    </row>
    <row r="47" spans="138:140" x14ac:dyDescent="0.2">
      <c r="EJ47" s="241"/>
    </row>
    <row r="48" spans="138:140" x14ac:dyDescent="0.2">
      <c r="EH48" s="54"/>
      <c r="EI48" s="54"/>
      <c r="EJ48" s="241"/>
    </row>
    <row r="49" spans="75:140" x14ac:dyDescent="0.2">
      <c r="BW49" s="54"/>
      <c r="EH49" s="54"/>
      <c r="EI49" s="54"/>
    </row>
    <row r="50" spans="75:140" x14ac:dyDescent="0.2">
      <c r="BW50" s="54"/>
      <c r="EH50" s="54"/>
      <c r="EI50" s="54"/>
      <c r="EJ50" s="241"/>
    </row>
    <row r="51" spans="75:140" x14ac:dyDescent="0.2">
      <c r="BW51" s="54"/>
      <c r="EH51" s="54"/>
      <c r="EI51" s="54"/>
      <c r="EJ51" s="241"/>
    </row>
    <row r="52" spans="75:140" x14ac:dyDescent="0.2">
      <c r="BW52" s="54"/>
      <c r="EH52" s="54"/>
      <c r="EI52" s="54"/>
    </row>
    <row r="53" spans="75:140" x14ac:dyDescent="0.2">
      <c r="BW53" s="54"/>
      <c r="EH53" s="54"/>
      <c r="EI53" s="54"/>
    </row>
    <row r="54" spans="75:140" x14ac:dyDescent="0.2">
      <c r="BW54" s="54"/>
      <c r="EH54" s="54"/>
      <c r="EI54" s="54"/>
    </row>
    <row r="55" spans="75:140" x14ac:dyDescent="0.2">
      <c r="BW55" s="54"/>
      <c r="EH55" s="242"/>
      <c r="EI55" s="54"/>
    </row>
    <row r="56" spans="75:140" x14ac:dyDescent="0.2">
      <c r="EH56" s="54"/>
      <c r="EI56" s="54"/>
    </row>
    <row r="66" spans="42:50" x14ac:dyDescent="0.2">
      <c r="AV66" s="243" t="s">
        <v>218</v>
      </c>
      <c r="AW66" s="243" t="s">
        <v>219</v>
      </c>
    </row>
    <row r="67" spans="42:50" x14ac:dyDescent="0.2">
      <c r="AP67" s="494" t="s">
        <v>220</v>
      </c>
      <c r="AQ67" s="494"/>
      <c r="AR67" s="494"/>
      <c r="AS67" s="494"/>
      <c r="AT67" s="494"/>
      <c r="AU67" s="494"/>
      <c r="AV67" s="244" t="s">
        <v>221</v>
      </c>
      <c r="AW67" s="245"/>
      <c r="AX67" s="207"/>
    </row>
    <row r="68" spans="42:50" x14ac:dyDescent="0.2">
      <c r="AP68" s="494" t="s">
        <v>222</v>
      </c>
      <c r="AQ68" s="494"/>
      <c r="AR68" s="494"/>
      <c r="AS68" s="494"/>
      <c r="AT68" s="494"/>
      <c r="AU68" s="494"/>
      <c r="AV68" s="244" t="s">
        <v>221</v>
      </c>
      <c r="AW68" s="245"/>
    </row>
    <row r="69" spans="42:50" x14ac:dyDescent="0.2">
      <c r="AP69" s="494" t="s">
        <v>223</v>
      </c>
      <c r="AQ69" s="494"/>
      <c r="AR69" s="494"/>
      <c r="AS69" s="494"/>
      <c r="AT69" s="494"/>
      <c r="AU69" s="494"/>
      <c r="AV69" s="244" t="s">
        <v>221</v>
      </c>
      <c r="AW69" s="245"/>
    </row>
    <row r="70" spans="42:50" x14ac:dyDescent="0.2">
      <c r="AP70" s="494" t="s">
        <v>224</v>
      </c>
      <c r="AQ70" s="494"/>
      <c r="AR70" s="494"/>
      <c r="AS70" s="494"/>
      <c r="AT70" s="494"/>
      <c r="AU70" s="494"/>
      <c r="AV70" s="244" t="s">
        <v>221</v>
      </c>
      <c r="AW70" s="245"/>
    </row>
    <row r="71" spans="42:50" x14ac:dyDescent="0.2">
      <c r="AP71" s="494" t="s">
        <v>225</v>
      </c>
      <c r="AQ71" s="494"/>
      <c r="AR71" s="494"/>
      <c r="AS71" s="494"/>
      <c r="AT71" s="494"/>
      <c r="AU71" s="494"/>
      <c r="AV71" s="244" t="s">
        <v>221</v>
      </c>
      <c r="AW71" s="245"/>
    </row>
    <row r="72" spans="42:50" x14ac:dyDescent="0.2">
      <c r="AP72" s="494" t="s">
        <v>226</v>
      </c>
      <c r="AQ72" s="494"/>
      <c r="AR72" s="494"/>
      <c r="AS72" s="494"/>
      <c r="AT72" s="494"/>
      <c r="AU72" s="494"/>
      <c r="AV72" s="244" t="s">
        <v>221</v>
      </c>
      <c r="AW72" s="245"/>
    </row>
    <row r="73" spans="42:50" x14ac:dyDescent="0.2">
      <c r="AP73" s="494" t="s">
        <v>227</v>
      </c>
      <c r="AQ73" s="494"/>
      <c r="AR73" s="494"/>
      <c r="AS73" s="494"/>
      <c r="AT73" s="494"/>
      <c r="AU73" s="494"/>
      <c r="AV73" s="244" t="s">
        <v>228</v>
      </c>
      <c r="AW73" s="245"/>
    </row>
    <row r="74" spans="42:50" x14ac:dyDescent="0.2">
      <c r="AP74" s="494" t="s">
        <v>229</v>
      </c>
      <c r="AQ74" s="494"/>
      <c r="AR74" s="494"/>
      <c r="AS74" s="494"/>
      <c r="AT74" s="494"/>
      <c r="AU74" s="494"/>
      <c r="AV74" s="244" t="s">
        <v>221</v>
      </c>
      <c r="AW74" s="245"/>
    </row>
    <row r="75" spans="42:50" x14ac:dyDescent="0.2">
      <c r="AP75" s="494" t="s">
        <v>230</v>
      </c>
      <c r="AQ75" s="494"/>
      <c r="AR75" s="494"/>
      <c r="AS75" s="494"/>
      <c r="AT75" s="494"/>
      <c r="AU75" s="494"/>
      <c r="AV75" s="244" t="s">
        <v>221</v>
      </c>
      <c r="AW75" s="245"/>
    </row>
    <row r="76" spans="42:50" x14ac:dyDescent="0.2">
      <c r="AP76" s="494" t="s">
        <v>231</v>
      </c>
      <c r="AQ76" s="494"/>
      <c r="AR76" s="494"/>
      <c r="AS76" s="494"/>
      <c r="AT76" s="494"/>
      <c r="AU76" s="494"/>
      <c r="AV76" s="244" t="s">
        <v>221</v>
      </c>
      <c r="AW76" s="245"/>
    </row>
    <row r="77" spans="42:50" x14ac:dyDescent="0.2">
      <c r="AP77" s="494" t="s">
        <v>232</v>
      </c>
      <c r="AQ77" s="494"/>
      <c r="AR77" s="494"/>
      <c r="AS77" s="494"/>
      <c r="AT77" s="494"/>
      <c r="AU77" s="494"/>
      <c r="AV77" s="244" t="s">
        <v>221</v>
      </c>
      <c r="AW77" s="245"/>
    </row>
    <row r="78" spans="42:50" x14ac:dyDescent="0.2">
      <c r="AP78" s="494" t="s">
        <v>233</v>
      </c>
      <c r="AQ78" s="494"/>
      <c r="AR78" s="494"/>
      <c r="AS78" s="494"/>
      <c r="AT78" s="494"/>
      <c r="AU78" s="494"/>
      <c r="AV78" s="246"/>
      <c r="AW78" s="247"/>
    </row>
    <row r="81" spans="1:77" x14ac:dyDescent="0.2">
      <c r="A81" s="248" t="s">
        <v>234</v>
      </c>
      <c r="AP81" s="248" t="s">
        <v>234</v>
      </c>
      <c r="AQ81" s="248"/>
      <c r="AR81" s="248"/>
      <c r="AS81" s="248"/>
      <c r="AT81" s="248"/>
      <c r="AU81" s="248"/>
      <c r="AV81" s="248"/>
      <c r="AW81" s="248"/>
      <c r="AX81" s="248"/>
      <c r="AY81" s="248"/>
      <c r="AZ81" s="248"/>
      <c r="BA81" s="248"/>
      <c r="BB81" s="248"/>
      <c r="BC81" s="248"/>
      <c r="BD81" s="248"/>
      <c r="BE81" s="248"/>
      <c r="BF81" s="248"/>
      <c r="BG81" s="248"/>
      <c r="BH81" s="248"/>
      <c r="BI81" s="248"/>
      <c r="BJ81" s="248"/>
      <c r="BK81" s="248"/>
      <c r="BL81" s="248"/>
      <c r="BM81" s="248"/>
      <c r="BN81" s="248"/>
      <c r="BO81" s="248"/>
      <c r="BP81" s="248"/>
      <c r="BQ81" s="248"/>
      <c r="BR81" s="248"/>
      <c r="BS81" s="248"/>
      <c r="BT81" s="248"/>
      <c r="BU81" s="248"/>
      <c r="BV81" s="248"/>
      <c r="BW81" s="248"/>
    </row>
    <row r="82" spans="1:77" x14ac:dyDescent="0.2">
      <c r="A82" s="248"/>
      <c r="AP82" s="248"/>
      <c r="AQ82" s="248" t="s">
        <v>52</v>
      </c>
      <c r="AR82" s="248" t="s">
        <v>53</v>
      </c>
      <c r="AS82" s="248" t="s">
        <v>54</v>
      </c>
      <c r="AT82" s="248" t="s">
        <v>55</v>
      </c>
      <c r="AU82" s="248" t="s">
        <v>56</v>
      </c>
      <c r="AV82" s="248" t="s">
        <v>57</v>
      </c>
      <c r="AW82" s="248" t="s">
        <v>58</v>
      </c>
      <c r="AX82" s="248" t="s">
        <v>59</v>
      </c>
      <c r="AY82" s="248" t="s">
        <v>60</v>
      </c>
      <c r="AZ82" s="248" t="s">
        <v>61</v>
      </c>
      <c r="BA82" s="248" t="s">
        <v>62</v>
      </c>
      <c r="BB82" s="248" t="s">
        <v>63</v>
      </c>
      <c r="BC82" s="248" t="s">
        <v>64</v>
      </c>
      <c r="BD82" s="248" t="s">
        <v>65</v>
      </c>
      <c r="BE82" s="248" t="s">
        <v>66</v>
      </c>
      <c r="BF82" s="248" t="s">
        <v>67</v>
      </c>
      <c r="BG82" s="248" t="s">
        <v>68</v>
      </c>
      <c r="BH82" s="248" t="s">
        <v>69</v>
      </c>
      <c r="BI82" s="248"/>
      <c r="BJ82" s="248"/>
      <c r="BK82" s="248"/>
      <c r="BL82" s="248"/>
      <c r="BM82" s="248"/>
      <c r="BN82" s="248"/>
      <c r="BO82" s="248"/>
      <c r="BP82" s="248"/>
      <c r="BQ82" s="248"/>
      <c r="BR82" s="248"/>
      <c r="BS82" s="248"/>
      <c r="BT82" s="248"/>
      <c r="BU82" s="248"/>
      <c r="BV82" s="248"/>
    </row>
    <row r="83" spans="1:77" x14ac:dyDescent="0.2">
      <c r="A83" s="249" t="s">
        <v>235</v>
      </c>
      <c r="AP83" s="249" t="s">
        <v>236</v>
      </c>
      <c r="AQ83" s="250">
        <f>85704.31487/1000</f>
        <v>85.704314870000005</v>
      </c>
      <c r="AR83" s="250">
        <f>98931.51105/1000</f>
        <v>98.931511049999997</v>
      </c>
      <c r="AS83" s="250">
        <f>69878.4140485398/1000</f>
        <v>69.878414048539796</v>
      </c>
      <c r="AT83" s="250">
        <f>72484.57807/1000</f>
        <v>72.484578069999998</v>
      </c>
      <c r="AU83" s="250">
        <f>75134.22311/1000</f>
        <v>75.134223110000008</v>
      </c>
      <c r="AV83" s="250">
        <f>89333.29225/1000</f>
        <v>89.33329225</v>
      </c>
      <c r="AW83" s="250">
        <f>89297.56594/1000</f>
        <v>89.297565939999998</v>
      </c>
      <c r="AX83" s="250">
        <f>64445176.81/1000000</f>
        <v>64.445176810000007</v>
      </c>
      <c r="AY83" s="250">
        <f>88064547.77/1000000</f>
        <v>88.06454776999999</v>
      </c>
      <c r="AZ83" s="250">
        <f>77096189.8/1000000</f>
        <v>77.096189799999991</v>
      </c>
      <c r="BA83" s="250">
        <v>68.301123700000005</v>
      </c>
      <c r="BB83" s="250">
        <v>109.82367360000036</v>
      </c>
      <c r="BC83" s="250">
        <v>106.94255879000001</v>
      </c>
      <c r="BD83" s="250">
        <v>105.91284826000005</v>
      </c>
      <c r="BE83" s="250">
        <v>113.285053</v>
      </c>
      <c r="BF83" s="250">
        <v>90.038701599999996</v>
      </c>
      <c r="BG83" s="250">
        <v>79.643600540000008</v>
      </c>
      <c r="BH83" s="250">
        <v>86.540419540000002</v>
      </c>
      <c r="BI83" s="250"/>
      <c r="BJ83" s="250"/>
      <c r="BK83" s="250"/>
      <c r="BL83" s="250"/>
      <c r="BM83" s="250"/>
      <c r="BN83" s="250"/>
      <c r="BO83" s="250"/>
      <c r="BP83" s="250"/>
      <c r="BQ83" s="250"/>
      <c r="BR83" s="250"/>
      <c r="BS83" s="250"/>
      <c r="BT83" s="250"/>
      <c r="BU83" s="250"/>
      <c r="BV83" s="250"/>
      <c r="BX83" s="19">
        <v>64445176.810000002</v>
      </c>
      <c r="BY83" s="19">
        <v>88064547.769999996</v>
      </c>
    </row>
    <row r="84" spans="1:77" x14ac:dyDescent="0.2">
      <c r="A84" s="249" t="s">
        <v>237</v>
      </c>
      <c r="AP84" s="249" t="s">
        <v>238</v>
      </c>
      <c r="AQ84" s="250">
        <f>42394.13095/1000</f>
        <v>42.394130949999997</v>
      </c>
      <c r="AR84" s="250">
        <f>42644.90409/1000</f>
        <v>42.644904090000004</v>
      </c>
      <c r="AS84" s="250">
        <f>34394.7576481968/1000</f>
        <v>34.394757648196801</v>
      </c>
      <c r="AT84" s="250">
        <f>23901.26048/1000</f>
        <v>23.901260480000001</v>
      </c>
      <c r="AU84" s="250">
        <f>23002.67937/1000</f>
        <v>23.002679370000003</v>
      </c>
      <c r="AV84" s="250">
        <f>24862.00276/1000</f>
        <v>24.862002759999999</v>
      </c>
      <c r="AW84" s="250">
        <f>38517.88891/1000</f>
        <v>38.517888910000003</v>
      </c>
      <c r="AX84" s="250">
        <f>41299466.76/1000000</f>
        <v>41.299466760000001</v>
      </c>
      <c r="AY84" s="250">
        <f>63138309.69/1000000</f>
        <v>63.13830969</v>
      </c>
      <c r="AZ84" s="250">
        <f>59986539.94/1000000</f>
        <v>59.98653994</v>
      </c>
      <c r="BA84" s="250">
        <v>64.672567110000003</v>
      </c>
      <c r="BB84" s="250">
        <v>74.407232250000007</v>
      </c>
      <c r="BC84" s="250">
        <v>68.52480663</v>
      </c>
      <c r="BD84" s="250">
        <v>41.164553293889028</v>
      </c>
      <c r="BE84" s="250">
        <v>44.499734969999999</v>
      </c>
      <c r="BF84" s="250">
        <v>26.51382186</v>
      </c>
      <c r="BG84" s="250">
        <v>27.924996929999999</v>
      </c>
      <c r="BH84" s="250">
        <v>39.35689593</v>
      </c>
      <c r="BI84" s="250"/>
      <c r="BJ84" s="250"/>
      <c r="BK84" s="250"/>
      <c r="BL84" s="250"/>
      <c r="BM84" s="250"/>
      <c r="BN84" s="250"/>
      <c r="BO84" s="250"/>
      <c r="BP84" s="250"/>
      <c r="BQ84" s="250"/>
      <c r="BR84" s="250"/>
      <c r="BS84" s="250"/>
      <c r="BT84" s="250"/>
      <c r="BU84" s="250"/>
      <c r="BV84" s="250"/>
      <c r="BX84" s="19">
        <v>41299466.759999998</v>
      </c>
      <c r="BY84" s="19">
        <v>63138309.689999998</v>
      </c>
    </row>
    <row r="85" spans="1:77" x14ac:dyDescent="0.2">
      <c r="A85" s="249" t="s">
        <v>239</v>
      </c>
      <c r="AP85" s="249" t="s">
        <v>240</v>
      </c>
      <c r="AQ85" s="250">
        <f>66563.38632/1000</f>
        <v>66.563386320000006</v>
      </c>
      <c r="AR85" s="250">
        <f>67943.74896/1000</f>
        <v>67.943748959999994</v>
      </c>
      <c r="AS85" s="250">
        <f>62240.45233/1000</f>
        <v>62.240452329999997</v>
      </c>
      <c r="AT85" s="250">
        <f>61906.1403799999/1000</f>
        <v>61.906140379999904</v>
      </c>
      <c r="AU85" s="250">
        <f>64512.99845/1000</f>
        <v>64.512998449999998</v>
      </c>
      <c r="AV85" s="250">
        <f>63473.26154/1000</f>
        <v>63.473261540000003</v>
      </c>
      <c r="AW85" s="250">
        <f>67876.2229/1000</f>
        <v>67.876222899999988</v>
      </c>
      <c r="AX85" s="250">
        <f>69937767.08/1000000</f>
        <v>69.93776708</v>
      </c>
      <c r="AY85" s="250">
        <f>69406719.3/1000000</f>
        <v>69.406719299999992</v>
      </c>
      <c r="AZ85" s="250">
        <f>65727851.54/1000000</f>
        <v>65.727851540000003</v>
      </c>
      <c r="BA85" s="250">
        <v>69.866434699999999</v>
      </c>
      <c r="BB85" s="250">
        <v>67.272058250000001</v>
      </c>
      <c r="BC85" s="250">
        <v>73.031762239999992</v>
      </c>
      <c r="BD85" s="250">
        <v>69.62570793957066</v>
      </c>
      <c r="BE85" s="250">
        <v>64.626036880000001</v>
      </c>
      <c r="BF85" s="250">
        <v>53.41464182</v>
      </c>
      <c r="BG85" s="250">
        <v>56.881166159999999</v>
      </c>
      <c r="BH85" s="250">
        <v>65.138591169999998</v>
      </c>
      <c r="BI85" s="250"/>
      <c r="BJ85" s="250"/>
      <c r="BK85" s="250"/>
      <c r="BL85" s="250"/>
      <c r="BM85" s="250"/>
      <c r="BN85" s="250"/>
      <c r="BO85" s="250"/>
      <c r="BP85" s="250"/>
      <c r="BQ85" s="250"/>
      <c r="BR85" s="250"/>
      <c r="BS85" s="250"/>
      <c r="BT85" s="250"/>
      <c r="BU85" s="250"/>
      <c r="BV85" s="250"/>
      <c r="BX85" s="19">
        <v>69937767.079999998</v>
      </c>
      <c r="BY85" s="19">
        <v>69406719.299999997</v>
      </c>
    </row>
    <row r="86" spans="1:77" ht="25.5" x14ac:dyDescent="0.2">
      <c r="A86" s="251" t="s">
        <v>241</v>
      </c>
      <c r="AP86" s="249" t="s">
        <v>242</v>
      </c>
      <c r="AQ86" s="250">
        <f>22935.3416399999/1000</f>
        <v>22.935341639999901</v>
      </c>
      <c r="AR86" s="250">
        <f>27773.62122/1000</f>
        <v>27.773621220000003</v>
      </c>
      <c r="AS86" s="250">
        <f>31181.44219/1000</f>
        <v>31.181442190000002</v>
      </c>
      <c r="AT86" s="250">
        <f>31809.01458/1000</f>
        <v>31.809014579999999</v>
      </c>
      <c r="AU86" s="250">
        <f>48271.9051/1000</f>
        <v>48.271905100000005</v>
      </c>
      <c r="AV86" s="250">
        <f>19451.34653/1000</f>
        <v>19.451346529999999</v>
      </c>
      <c r="AW86" s="250">
        <f>18460.8486/1000</f>
        <v>18.460848600000002</v>
      </c>
      <c r="AX86" s="250">
        <f>24071334.66/1000000</f>
        <v>24.071334660000002</v>
      </c>
      <c r="AY86" s="250">
        <f>26080487.04/1000000</f>
        <v>26.080487039999998</v>
      </c>
      <c r="AZ86" s="250">
        <f>26529346.64/1000000</f>
        <v>26.52934664</v>
      </c>
      <c r="BA86" s="250">
        <v>53.170318020000003</v>
      </c>
      <c r="BB86" s="250">
        <v>62.607238120000005</v>
      </c>
      <c r="BC86" s="250">
        <v>35.026437789999996</v>
      </c>
      <c r="BD86" s="250">
        <v>41.044320970000001</v>
      </c>
      <c r="BE86" s="250">
        <v>39.859094259999999</v>
      </c>
      <c r="BF86" s="250">
        <v>7.5908862099999999</v>
      </c>
      <c r="BG86" s="250">
        <v>38.105268700000003</v>
      </c>
      <c r="BH86" s="250">
        <v>16.521618480000001</v>
      </c>
      <c r="BI86" s="250"/>
      <c r="BJ86" s="250"/>
      <c r="BK86" s="250"/>
      <c r="BL86" s="250"/>
      <c r="BM86" s="250"/>
      <c r="BN86" s="250"/>
      <c r="BO86" s="250"/>
      <c r="BP86" s="250"/>
      <c r="BQ86" s="250"/>
      <c r="BR86" s="250"/>
      <c r="BS86" s="250"/>
      <c r="BT86" s="250"/>
      <c r="BU86" s="250"/>
      <c r="BV86" s="250"/>
      <c r="BX86" s="19">
        <v>24071334.66</v>
      </c>
      <c r="BY86" s="19">
        <v>26080487.039999999</v>
      </c>
    </row>
    <row r="87" spans="1:77" ht="13.5" thickBot="1" x14ac:dyDescent="0.25">
      <c r="A87" s="249" t="s">
        <v>243</v>
      </c>
      <c r="AP87" s="249" t="s">
        <v>243</v>
      </c>
      <c r="AQ87" s="252">
        <f>SUM(AQ83:AQ86)</f>
        <v>217.59717377999991</v>
      </c>
      <c r="AR87" s="252">
        <f t="shared" ref="AR87:BH87" si="14">SUM(AR83:AR86)</f>
        <v>237.29378531999998</v>
      </c>
      <c r="AS87" s="252">
        <f t="shared" si="14"/>
        <v>197.69506621673659</v>
      </c>
      <c r="AT87" s="252">
        <f t="shared" si="14"/>
        <v>190.10099350999991</v>
      </c>
      <c r="AU87" s="252">
        <f t="shared" si="14"/>
        <v>210.92180603</v>
      </c>
      <c r="AV87" s="252">
        <f t="shared" si="14"/>
        <v>197.11990308</v>
      </c>
      <c r="AW87" s="252">
        <f t="shared" si="14"/>
        <v>214.15252634999999</v>
      </c>
      <c r="AX87" s="252">
        <f t="shared" si="14"/>
        <v>199.75374531</v>
      </c>
      <c r="AY87" s="252">
        <f t="shared" si="14"/>
        <v>246.69006379999999</v>
      </c>
      <c r="AZ87" s="252">
        <f t="shared" si="14"/>
        <v>229.33992792000001</v>
      </c>
      <c r="BA87" s="252">
        <v>256.01044353000003</v>
      </c>
      <c r="BB87" s="252">
        <f t="shared" si="14"/>
        <v>314.11020222000036</v>
      </c>
      <c r="BC87" s="252">
        <f t="shared" si="14"/>
        <v>283.52556544999999</v>
      </c>
      <c r="BD87" s="252">
        <f t="shared" si="14"/>
        <v>257.74743046345975</v>
      </c>
      <c r="BE87" s="252">
        <f t="shared" si="14"/>
        <v>262.26991910999999</v>
      </c>
      <c r="BF87" s="252">
        <f t="shared" si="14"/>
        <v>177.55805149000003</v>
      </c>
      <c r="BG87" s="252">
        <f t="shared" si="14"/>
        <v>202.55503233000002</v>
      </c>
      <c r="BH87" s="252">
        <f t="shared" si="14"/>
        <v>207.55752512000001</v>
      </c>
      <c r="BI87" s="253"/>
      <c r="BJ87" s="253"/>
      <c r="BK87" s="253"/>
      <c r="BL87" s="253"/>
      <c r="BM87" s="253"/>
      <c r="BN87" s="253"/>
      <c r="BO87" s="253"/>
      <c r="BP87" s="253"/>
      <c r="BQ87" s="253"/>
      <c r="BR87" s="253"/>
      <c r="BS87" s="253"/>
      <c r="BT87" s="253"/>
      <c r="BU87" s="253"/>
      <c r="BV87" s="253"/>
      <c r="BX87" s="19">
        <v>199753745.30999997</v>
      </c>
      <c r="BY87" s="19">
        <v>246690063.79999998</v>
      </c>
    </row>
    <row r="88" spans="1:77" x14ac:dyDescent="0.2">
      <c r="BX88" s="19" t="s">
        <v>208</v>
      </c>
      <c r="BY88" s="19" t="s">
        <v>208</v>
      </c>
    </row>
    <row r="89" spans="1:77" x14ac:dyDescent="0.2">
      <c r="A89" s="249" t="s">
        <v>244</v>
      </c>
      <c r="AT89" s="254">
        <v>72.484578069999998</v>
      </c>
      <c r="AU89" s="254">
        <v>75.134223109999994</v>
      </c>
      <c r="AV89" s="254">
        <v>89.33329225</v>
      </c>
      <c r="AW89" s="254">
        <v>89.297565939999998</v>
      </c>
      <c r="AX89" s="254">
        <v>64.445176810000007</v>
      </c>
      <c r="AY89" s="254">
        <v>88.06454776999999</v>
      </c>
      <c r="AZ89" s="254">
        <v>77.096189799999991</v>
      </c>
      <c r="BA89" s="254">
        <v>68.301123700000005</v>
      </c>
      <c r="BB89" s="254">
        <v>109.82367360000036</v>
      </c>
      <c r="BC89" s="254">
        <v>106.94255879000001</v>
      </c>
      <c r="BD89" s="254">
        <v>105.91284826000005</v>
      </c>
      <c r="BE89" s="254">
        <v>113.285053</v>
      </c>
      <c r="BF89" s="254">
        <v>90.038701599999996</v>
      </c>
      <c r="BG89" s="254">
        <v>79.643600540000008</v>
      </c>
      <c r="BH89" s="254">
        <v>86.540419540000002</v>
      </c>
      <c r="BI89" s="254"/>
      <c r="BJ89" s="254"/>
      <c r="BK89" s="254"/>
      <c r="BL89" s="254"/>
      <c r="BM89" s="254"/>
      <c r="BN89" s="254"/>
      <c r="BO89" s="254"/>
      <c r="BP89" s="254"/>
      <c r="BQ89" s="254"/>
      <c r="BR89" s="254"/>
      <c r="BS89" s="254"/>
      <c r="BT89" s="254"/>
      <c r="BU89" s="254"/>
      <c r="BV89" s="254"/>
      <c r="BW89" s="254"/>
    </row>
    <row r="90" spans="1:77" x14ac:dyDescent="0.2">
      <c r="AT90" s="254">
        <v>23.901260480000001</v>
      </c>
      <c r="AU90" s="254">
        <v>23.002679370000003</v>
      </c>
      <c r="AV90" s="254">
        <v>24.862002760000003</v>
      </c>
      <c r="AW90" s="254">
        <v>38.517888909999996</v>
      </c>
      <c r="AX90" s="254">
        <v>41.299466760000001</v>
      </c>
      <c r="AY90" s="254">
        <v>63.13830969</v>
      </c>
      <c r="AZ90" s="254">
        <v>59.98653994</v>
      </c>
      <c r="BA90" s="254">
        <v>64.672567110000003</v>
      </c>
      <c r="BB90" s="254">
        <v>74.407232250000007</v>
      </c>
      <c r="BC90" s="254">
        <v>68.52480663</v>
      </c>
      <c r="BD90" s="254">
        <v>41.164553293889028</v>
      </c>
      <c r="BE90" s="254">
        <v>44.499734969999999</v>
      </c>
      <c r="BF90" s="254">
        <v>26.51382186</v>
      </c>
      <c r="BG90" s="254">
        <v>27.924996929999999</v>
      </c>
      <c r="BH90" s="254">
        <v>39.35689593</v>
      </c>
      <c r="BI90" s="254"/>
      <c r="BJ90" s="254"/>
      <c r="BK90" s="254"/>
      <c r="BL90" s="254"/>
      <c r="BM90" s="254"/>
      <c r="BN90" s="254"/>
      <c r="BO90" s="254"/>
      <c r="BP90" s="254"/>
      <c r="BQ90" s="254"/>
      <c r="BR90" s="254"/>
      <c r="BS90" s="254"/>
      <c r="BT90" s="254"/>
      <c r="BU90" s="254"/>
      <c r="BV90" s="254"/>
      <c r="BW90" s="254"/>
    </row>
    <row r="91" spans="1:77" x14ac:dyDescent="0.2">
      <c r="AT91" s="254">
        <v>61.906140380000004</v>
      </c>
      <c r="AU91" s="254">
        <v>64.512998449999998</v>
      </c>
      <c r="AV91" s="254">
        <v>63.473261539999996</v>
      </c>
      <c r="AW91" s="254">
        <v>67.876222900000002</v>
      </c>
      <c r="AX91" s="254">
        <v>69.93776708</v>
      </c>
      <c r="AY91" s="254">
        <v>69.406719299999992</v>
      </c>
      <c r="AZ91" s="254">
        <v>65.727851540000003</v>
      </c>
      <c r="BA91" s="254">
        <v>69.866434699999999</v>
      </c>
      <c r="BB91" s="254">
        <v>67.272058250000001</v>
      </c>
      <c r="BC91" s="254">
        <v>73.031762239999992</v>
      </c>
      <c r="BD91" s="254">
        <v>69.62570793957066</v>
      </c>
      <c r="BE91" s="254">
        <v>64.626036880000001</v>
      </c>
      <c r="BF91" s="254">
        <v>53.41464182</v>
      </c>
      <c r="BG91" s="254">
        <v>56.881166159999999</v>
      </c>
      <c r="BH91" s="254">
        <v>65.138591169999998</v>
      </c>
      <c r="BI91" s="254"/>
      <c r="BJ91" s="254"/>
      <c r="BK91" s="254"/>
      <c r="BL91" s="254"/>
      <c r="BM91" s="254"/>
      <c r="BN91" s="254"/>
      <c r="BO91" s="254"/>
      <c r="BP91" s="254"/>
      <c r="BQ91" s="254"/>
      <c r="BR91" s="254"/>
      <c r="BS91" s="254"/>
      <c r="BT91" s="254"/>
      <c r="BU91" s="254"/>
      <c r="BV91" s="254"/>
      <c r="BW91" s="254"/>
    </row>
    <row r="92" spans="1:77" x14ac:dyDescent="0.2">
      <c r="AT92" s="254">
        <v>31.809014579999999</v>
      </c>
      <c r="AU92" s="254">
        <v>48.271905100000005</v>
      </c>
      <c r="AV92" s="254">
        <v>19.451346530000002</v>
      </c>
      <c r="AW92" s="254">
        <v>18.460848600000002</v>
      </c>
      <c r="AX92" s="254">
        <v>24.071334660000002</v>
      </c>
      <c r="AY92" s="254">
        <v>26.080487039999998</v>
      </c>
      <c r="AZ92" s="254">
        <v>26.52934664</v>
      </c>
      <c r="BA92" s="254">
        <v>53.170318020000003</v>
      </c>
      <c r="BB92" s="254">
        <v>62.607238120000005</v>
      </c>
      <c r="BC92" s="254">
        <v>35.026437789999996</v>
      </c>
      <c r="BD92" s="254">
        <v>41.044320970000001</v>
      </c>
      <c r="BE92" s="254">
        <v>39.859094259999999</v>
      </c>
      <c r="BF92" s="254">
        <v>7.5908862099999999</v>
      </c>
      <c r="BG92" s="254">
        <v>38.105268700000003</v>
      </c>
      <c r="BH92" s="254">
        <v>16.521618480000001</v>
      </c>
      <c r="BI92" s="254"/>
      <c r="BJ92" s="254"/>
      <c r="BK92" s="254"/>
      <c r="BL92" s="254"/>
      <c r="BM92" s="254"/>
      <c r="BN92" s="254"/>
      <c r="BO92" s="254"/>
      <c r="BP92" s="254"/>
      <c r="BQ92" s="254"/>
      <c r="BR92" s="254"/>
      <c r="BS92" s="254"/>
      <c r="BT92" s="254"/>
      <c r="BU92" s="254"/>
      <c r="BV92" s="254"/>
      <c r="BW92" s="254"/>
    </row>
    <row r="93" spans="1:77" x14ac:dyDescent="0.2">
      <c r="AT93" s="254">
        <f>SUM(AT89:AT92)</f>
        <v>190.10099351</v>
      </c>
      <c r="AU93" s="254">
        <f t="shared" ref="AU93:BH93" si="15">SUM(AU89:AU92)</f>
        <v>210.92180603</v>
      </c>
      <c r="AV93" s="254">
        <f t="shared" si="15"/>
        <v>197.11990308</v>
      </c>
      <c r="AW93" s="254">
        <f t="shared" si="15"/>
        <v>214.15252634999999</v>
      </c>
      <c r="AX93" s="254">
        <f t="shared" si="15"/>
        <v>199.75374531</v>
      </c>
      <c r="AY93" s="254">
        <f t="shared" si="15"/>
        <v>246.69006379999999</v>
      </c>
      <c r="AZ93" s="254">
        <f t="shared" si="15"/>
        <v>229.33992792000001</v>
      </c>
      <c r="BA93" s="254">
        <f t="shared" si="15"/>
        <v>256.01044353000003</v>
      </c>
      <c r="BB93" s="254">
        <f t="shared" si="15"/>
        <v>314.11020222000036</v>
      </c>
      <c r="BC93" s="254">
        <f t="shared" si="15"/>
        <v>283.52556544999999</v>
      </c>
      <c r="BD93" s="254">
        <f t="shared" si="15"/>
        <v>257.74743046345975</v>
      </c>
      <c r="BE93" s="254">
        <f t="shared" si="15"/>
        <v>262.26991910999999</v>
      </c>
      <c r="BF93" s="254">
        <f t="shared" si="15"/>
        <v>177.55805149000003</v>
      </c>
      <c r="BG93" s="254">
        <f t="shared" si="15"/>
        <v>202.55503233000002</v>
      </c>
      <c r="BH93" s="254">
        <f t="shared" si="15"/>
        <v>207.55752512000001</v>
      </c>
      <c r="BI93" s="254"/>
      <c r="BJ93" s="254"/>
      <c r="BK93" s="254"/>
      <c r="BL93" s="254"/>
      <c r="BM93" s="254"/>
      <c r="BN93" s="254"/>
      <c r="BO93" s="254"/>
      <c r="BP93" s="254"/>
      <c r="BQ93" s="254"/>
      <c r="BR93" s="254"/>
      <c r="BS93" s="254"/>
      <c r="BT93" s="254"/>
      <c r="BU93" s="254"/>
      <c r="BV93" s="254"/>
      <c r="BW93" s="254"/>
    </row>
    <row r="94" spans="1:77" x14ac:dyDescent="0.2">
      <c r="AT94" s="56">
        <f>AT87-AT93</f>
        <v>0</v>
      </c>
      <c r="AU94" s="56">
        <f t="shared" ref="AU94:BH94" si="16">AU87-AU93</f>
        <v>0</v>
      </c>
      <c r="AV94" s="56">
        <f t="shared" si="16"/>
        <v>0</v>
      </c>
      <c r="AW94" s="56">
        <f t="shared" si="16"/>
        <v>0</v>
      </c>
      <c r="AX94" s="56">
        <f t="shared" si="16"/>
        <v>0</v>
      </c>
      <c r="AY94" s="56">
        <f t="shared" si="16"/>
        <v>0</v>
      </c>
      <c r="AZ94" s="56">
        <f t="shared" si="16"/>
        <v>0</v>
      </c>
      <c r="BA94" s="56">
        <f t="shared" si="16"/>
        <v>0</v>
      </c>
      <c r="BB94" s="56">
        <f t="shared" si="16"/>
        <v>0</v>
      </c>
      <c r="BC94" s="56">
        <f t="shared" si="16"/>
        <v>0</v>
      </c>
      <c r="BD94" s="56">
        <f t="shared" si="16"/>
        <v>0</v>
      </c>
      <c r="BE94" s="56">
        <f t="shared" si="16"/>
        <v>0</v>
      </c>
      <c r="BF94" s="56">
        <f t="shared" si="16"/>
        <v>0</v>
      </c>
      <c r="BG94" s="56">
        <f t="shared" si="16"/>
        <v>0</v>
      </c>
      <c r="BH94" s="56">
        <f t="shared" si="16"/>
        <v>0</v>
      </c>
      <c r="BI94" s="56"/>
      <c r="BJ94" s="56"/>
      <c r="BK94" s="56"/>
      <c r="BL94" s="56"/>
      <c r="BM94" s="56"/>
      <c r="BN94" s="56"/>
      <c r="BO94" s="56"/>
      <c r="BP94" s="56"/>
      <c r="BQ94" s="56"/>
      <c r="BR94" s="56"/>
      <c r="BS94" s="56"/>
      <c r="BT94" s="56"/>
      <c r="BU94" s="56"/>
      <c r="BV94" s="56"/>
    </row>
  </sheetData>
  <mergeCells count="16">
    <mergeCell ref="AP75:AU75"/>
    <mergeCell ref="AP76:AU76"/>
    <mergeCell ref="AP77:AU77"/>
    <mergeCell ref="AP78:AU78"/>
    <mergeCell ref="AP69:AU69"/>
    <mergeCell ref="AP70:AU70"/>
    <mergeCell ref="AP71:AU71"/>
    <mergeCell ref="AP72:AU72"/>
    <mergeCell ref="AP73:AU73"/>
    <mergeCell ref="AP74:AU74"/>
    <mergeCell ref="AP68:AU68"/>
    <mergeCell ref="BB14:BF14"/>
    <mergeCell ref="BH14:BM14"/>
    <mergeCell ref="BB15:BF15"/>
    <mergeCell ref="BH15:BM15"/>
    <mergeCell ref="AP67:AU67"/>
  </mergeCells>
  <hyperlinks>
    <hyperlink ref="BX16" r:id="rId1"/>
    <hyperlink ref="DW12" r:id="rId2"/>
    <hyperlink ref="DW16" r:id="rId3"/>
    <hyperlink ref="DS12" r:id="rId4"/>
    <hyperlink ref="DS16" r:id="rId5"/>
    <hyperlink ref="EI16" r:id="rId6"/>
    <hyperlink ref="BH15" r:id="rId7"/>
    <hyperlink ref="BH14" r:id="rId8"/>
  </hyperlinks>
  <pageMargins left="0.37" right="0.7" top="0.49" bottom="0.75" header="0.3" footer="0.3"/>
  <pageSetup scale="41" orientation="landscape" r:id="rId9"/>
  <drawing r:id="rId10"/>
  <legacy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31"/>
  <sheetViews>
    <sheetView showGridLines="0" workbookViewId="0">
      <selection activeCell="S38" sqref="S38"/>
    </sheetView>
  </sheetViews>
  <sheetFormatPr defaultColWidth="8.85546875" defaultRowHeight="15" x14ac:dyDescent="0.25"/>
  <cols>
    <col min="1" max="1" width="15.42578125" customWidth="1"/>
    <col min="2" max="2" width="13.28515625" customWidth="1"/>
    <col min="3" max="3" width="13.7109375" customWidth="1"/>
    <col min="4" max="4" width="14" customWidth="1"/>
    <col min="5" max="5" width="13.42578125" customWidth="1"/>
    <col min="6" max="6" width="14.28515625" customWidth="1"/>
    <col min="7" max="7" width="13.42578125" customWidth="1"/>
    <col min="8" max="8" width="12.7109375" customWidth="1"/>
    <col min="9" max="9" width="13.85546875" customWidth="1"/>
    <col min="10" max="10" width="13.7109375" customWidth="1"/>
    <col min="11" max="11" width="13.42578125" customWidth="1"/>
    <col min="12" max="12" width="14" customWidth="1"/>
    <col min="13" max="17" width="10" bestFit="1" customWidth="1"/>
    <col min="18" max="18" width="12" bestFit="1" customWidth="1"/>
    <col min="19" max="19" width="10" bestFit="1" customWidth="1"/>
    <col min="20" max="20" width="12" bestFit="1" customWidth="1"/>
    <col min="21" max="21" width="7" customWidth="1"/>
    <col min="22" max="23" width="12" bestFit="1" customWidth="1"/>
    <col min="24" max="24" width="10" bestFit="1" customWidth="1"/>
    <col min="25" max="25" width="12" bestFit="1" customWidth="1"/>
    <col min="26" max="26" width="9" customWidth="1"/>
    <col min="27" max="27" width="7" customWidth="1"/>
    <col min="28" max="28" width="12" bestFit="1" customWidth="1"/>
    <col min="29" max="29" width="10" bestFit="1" customWidth="1"/>
    <col min="30" max="39" width="11" bestFit="1" customWidth="1"/>
    <col min="40" max="40" width="10" bestFit="1" customWidth="1"/>
    <col min="41" max="41" width="11" bestFit="1" customWidth="1"/>
    <col min="42" max="42" width="10" bestFit="1" customWidth="1"/>
    <col min="43" max="45" width="11" bestFit="1" customWidth="1"/>
    <col min="46" max="46" width="12" bestFit="1" customWidth="1"/>
    <col min="47" max="47" width="10" bestFit="1" customWidth="1"/>
    <col min="48" max="51" width="11" bestFit="1" customWidth="1"/>
    <col min="52" max="53" width="12" bestFit="1" customWidth="1"/>
    <col min="54" max="55" width="11" bestFit="1" customWidth="1"/>
    <col min="56" max="61" width="12" bestFit="1" customWidth="1"/>
    <col min="62" max="62" width="7.28515625" customWidth="1"/>
    <col min="63" max="63" width="11.28515625" bestFit="1" customWidth="1"/>
  </cols>
  <sheetData>
    <row r="3" spans="1:12" x14ac:dyDescent="0.25">
      <c r="B3" t="s">
        <v>0</v>
      </c>
    </row>
    <row r="4" spans="1:12" x14ac:dyDescent="0.25">
      <c r="A4" t="s">
        <v>1</v>
      </c>
      <c r="B4" t="s">
        <v>2</v>
      </c>
      <c r="C4" t="s">
        <v>3</v>
      </c>
      <c r="D4" t="s">
        <v>4</v>
      </c>
      <c r="E4" t="s">
        <v>5</v>
      </c>
      <c r="F4" t="s">
        <v>6</v>
      </c>
      <c r="G4" t="s">
        <v>7</v>
      </c>
      <c r="H4" t="s">
        <v>8</v>
      </c>
      <c r="I4" t="s">
        <v>9</v>
      </c>
      <c r="J4" t="s">
        <v>10</v>
      </c>
      <c r="K4" t="s">
        <v>11</v>
      </c>
      <c r="L4" t="s">
        <v>12</v>
      </c>
    </row>
    <row r="5" spans="1:12" x14ac:dyDescent="0.25">
      <c r="A5" s="1" t="s">
        <v>13</v>
      </c>
      <c r="B5" s="2">
        <v>187318.11</v>
      </c>
      <c r="C5" s="2">
        <v>313082.46999999997</v>
      </c>
      <c r="D5" s="2">
        <v>239959.04000000004</v>
      </c>
      <c r="E5" s="2">
        <v>233745.59000000003</v>
      </c>
      <c r="F5" s="2">
        <v>310861.68</v>
      </c>
      <c r="G5" s="2">
        <v>298814.08999999997</v>
      </c>
      <c r="H5" s="2">
        <v>288102.13</v>
      </c>
      <c r="I5" s="2">
        <v>321947</v>
      </c>
      <c r="J5" s="2">
        <v>323294.08461286541</v>
      </c>
      <c r="K5" s="2">
        <v>344212.66</v>
      </c>
      <c r="L5" s="2">
        <v>326766.38</v>
      </c>
    </row>
    <row r="6" spans="1:12" x14ac:dyDescent="0.25">
      <c r="A6" s="1" t="s">
        <v>14</v>
      </c>
      <c r="B6" s="2">
        <v>26303700.550000001</v>
      </c>
      <c r="C6" s="2">
        <v>20030022.609999999</v>
      </c>
      <c r="D6" s="2">
        <v>24799552.350000001</v>
      </c>
      <c r="E6" s="2">
        <v>30434905.91</v>
      </c>
      <c r="F6" s="2">
        <v>17967066.460000001</v>
      </c>
      <c r="G6" s="2">
        <v>54295210.530000001</v>
      </c>
      <c r="H6" s="2">
        <v>-11448555.449999999</v>
      </c>
      <c r="I6" s="2">
        <v>22183086.789999999</v>
      </c>
      <c r="J6" s="2">
        <v>22067509.239999998</v>
      </c>
      <c r="K6" s="2">
        <v>23641780.960000001</v>
      </c>
      <c r="L6" s="2">
        <v>23919169.48</v>
      </c>
    </row>
    <row r="7" spans="1:12" x14ac:dyDescent="0.25">
      <c r="A7" s="1" t="s">
        <v>15</v>
      </c>
      <c r="B7" s="2">
        <v>17911962.536180574</v>
      </c>
      <c r="C7" s="2">
        <v>23660246.033399139</v>
      </c>
      <c r="D7" s="2">
        <v>17777267.868024889</v>
      </c>
      <c r="E7" s="2">
        <v>11346634.785329696</v>
      </c>
      <c r="F7" s="2">
        <v>26404406.517042536</v>
      </c>
      <c r="G7" s="2">
        <v>24112710.810916424</v>
      </c>
      <c r="H7" s="2">
        <v>18219151.243291441</v>
      </c>
      <c r="I7" s="2">
        <v>24613782.535602558</v>
      </c>
      <c r="J7" s="2">
        <v>21097635.359237097</v>
      </c>
      <c r="K7" s="2">
        <v>19411946.778253287</v>
      </c>
      <c r="L7" s="2">
        <v>29511621.45026318</v>
      </c>
    </row>
    <row r="8" spans="1:12" x14ac:dyDescent="0.25">
      <c r="A8" s="1" t="s">
        <v>16</v>
      </c>
      <c r="B8" s="2">
        <v>95231416.479536951</v>
      </c>
      <c r="C8" s="2">
        <v>104758270.91484807</v>
      </c>
      <c r="D8" s="2">
        <v>102424367.68285097</v>
      </c>
      <c r="E8" s="2">
        <v>111119031.69389382</v>
      </c>
      <c r="F8" s="2">
        <v>128757706.96876106</v>
      </c>
      <c r="G8" s="2">
        <v>114709256.86637168</v>
      </c>
      <c r="H8" s="2">
        <v>100163965.7423009</v>
      </c>
      <c r="I8" s="2">
        <v>104777564.11000001</v>
      </c>
      <c r="J8" s="2">
        <v>72119891.115840703</v>
      </c>
      <c r="K8" s="2">
        <v>88333393.501769915</v>
      </c>
      <c r="L8" s="2">
        <v>81855723.316460177</v>
      </c>
    </row>
    <row r="9" spans="1:12" x14ac:dyDescent="0.25">
      <c r="A9" s="1" t="s">
        <v>17</v>
      </c>
      <c r="B9" s="2">
        <v>171904306.37302625</v>
      </c>
      <c r="C9" s="2">
        <v>102224685.23999979</v>
      </c>
      <c r="D9" s="2">
        <v>102530381.16797382</v>
      </c>
      <c r="E9" s="2">
        <v>131341119.21000013</v>
      </c>
      <c r="F9" s="2">
        <v>125723475.4799999</v>
      </c>
      <c r="G9" s="2">
        <v>163234143.37000021</v>
      </c>
      <c r="H9" s="2">
        <v>175859009.79999986</v>
      </c>
      <c r="I9" s="2">
        <v>161331420.65999988</v>
      </c>
      <c r="J9" s="2">
        <v>184763255.95400023</v>
      </c>
      <c r="K9" s="2">
        <v>122960600.16999996</v>
      </c>
      <c r="L9" s="2">
        <v>254249221.17172015</v>
      </c>
    </row>
    <row r="10" spans="1:12" x14ac:dyDescent="0.25">
      <c r="A10" s="1" t="s">
        <v>18</v>
      </c>
      <c r="B10" s="2">
        <v>275418.84999999998</v>
      </c>
      <c r="C10" s="2">
        <v>-2580734.04</v>
      </c>
      <c r="D10" s="2">
        <v>-555747.39</v>
      </c>
      <c r="E10" s="2">
        <v>-2410678.69</v>
      </c>
      <c r="F10" s="2">
        <v>-1667195.5</v>
      </c>
      <c r="G10" s="2">
        <v>38259.730000000003</v>
      </c>
      <c r="H10" s="2">
        <v>-54477.01</v>
      </c>
      <c r="I10" s="2">
        <v>-67393.97</v>
      </c>
      <c r="J10" s="2">
        <v>-2006088.23</v>
      </c>
      <c r="K10" s="2">
        <v>-411132.71</v>
      </c>
      <c r="L10" s="2">
        <v>-775605.14</v>
      </c>
    </row>
    <row r="11" spans="1:12" x14ac:dyDescent="0.25">
      <c r="A11" s="1" t="s">
        <v>19</v>
      </c>
      <c r="B11" s="2">
        <v>29338937.029999997</v>
      </c>
      <c r="C11" s="2">
        <v>29130371.930000003</v>
      </c>
      <c r="D11" s="2">
        <v>27651500.149999999</v>
      </c>
      <c r="E11" s="2">
        <v>31734257.179999996</v>
      </c>
      <c r="F11" s="2">
        <v>26740491.73</v>
      </c>
      <c r="G11" s="2">
        <v>16450428.100000001</v>
      </c>
      <c r="H11" s="2">
        <v>12842723.09</v>
      </c>
      <c r="I11" s="2">
        <v>13001676.420000002</v>
      </c>
      <c r="J11" s="2">
        <v>13512229.742033569</v>
      </c>
      <c r="K11" s="2">
        <v>22998547.127966434</v>
      </c>
      <c r="L11" s="2">
        <v>52037811.649999976</v>
      </c>
    </row>
    <row r="12" spans="1:12" x14ac:dyDescent="0.25">
      <c r="A12" s="1" t="s">
        <v>20</v>
      </c>
      <c r="B12" s="2">
        <v>7598708.5051499931</v>
      </c>
      <c r="C12" s="2">
        <v>7422582.1376000056</v>
      </c>
      <c r="D12" s="2">
        <v>8802713.2593215946</v>
      </c>
      <c r="E12" s="2">
        <v>7860577.8415900031</v>
      </c>
      <c r="F12" s="2">
        <v>7092715.188219998</v>
      </c>
      <c r="G12" s="2">
        <v>10657025.667990001</v>
      </c>
      <c r="H12" s="2">
        <v>6294411.0747199953</v>
      </c>
      <c r="I12" s="2">
        <v>6301033.339300001</v>
      </c>
      <c r="J12" s="2">
        <v>7793477.0156999994</v>
      </c>
      <c r="K12" s="2">
        <v>12240755.72748</v>
      </c>
      <c r="L12" s="2">
        <v>26191128.928220015</v>
      </c>
    </row>
    <row r="13" spans="1:12" x14ac:dyDescent="0.25">
      <c r="A13" s="1" t="s">
        <v>21</v>
      </c>
      <c r="B13" s="2">
        <v>2488176.0100000002</v>
      </c>
      <c r="C13" s="2">
        <v>2383415.12</v>
      </c>
      <c r="D13" s="2">
        <v>2563122.67</v>
      </c>
      <c r="E13" s="2">
        <v>2705375.88</v>
      </c>
      <c r="F13" s="2">
        <v>3005956.29</v>
      </c>
      <c r="G13" s="2">
        <v>2986516.02</v>
      </c>
      <c r="H13" s="2">
        <v>1718023.6568261993</v>
      </c>
      <c r="I13" s="2">
        <v>3260567.55</v>
      </c>
      <c r="J13" s="2">
        <v>3323186.8000000003</v>
      </c>
      <c r="K13" s="2">
        <v>3019412.9499999997</v>
      </c>
      <c r="L13" s="2">
        <v>3149712.76</v>
      </c>
    </row>
    <row r="14" spans="1:12" x14ac:dyDescent="0.25">
      <c r="A14" s="1" t="s">
        <v>22</v>
      </c>
      <c r="B14" s="2">
        <v>351239944.44389379</v>
      </c>
      <c r="C14" s="2">
        <v>287341942.415847</v>
      </c>
      <c r="D14" s="2">
        <v>286233116.79817128</v>
      </c>
      <c r="E14" s="2">
        <v>324364969.40081364</v>
      </c>
      <c r="F14" s="2">
        <v>334335484.81402355</v>
      </c>
      <c r="G14" s="2">
        <v>386782365.18527836</v>
      </c>
      <c r="H14" s="2">
        <v>303882354.27713841</v>
      </c>
      <c r="I14" s="2">
        <v>335723684.43490243</v>
      </c>
      <c r="J14" s="2">
        <v>322994391.08142442</v>
      </c>
      <c r="K14" s="2">
        <v>292539517.16546959</v>
      </c>
      <c r="L14" s="2">
        <v>470465549.99666351</v>
      </c>
    </row>
    <row r="19" spans="1:12" x14ac:dyDescent="0.25">
      <c r="A19" s="3" t="s">
        <v>23</v>
      </c>
      <c r="B19" s="4">
        <v>41275</v>
      </c>
      <c r="C19" s="4">
        <v>41306</v>
      </c>
      <c r="D19" s="4">
        <v>41334</v>
      </c>
      <c r="E19" s="4">
        <v>41365</v>
      </c>
      <c r="F19" s="4">
        <v>41395</v>
      </c>
      <c r="G19" s="4">
        <v>41426</v>
      </c>
      <c r="H19" s="4">
        <v>41456</v>
      </c>
      <c r="I19" s="4">
        <v>41487</v>
      </c>
      <c r="J19" s="4">
        <v>41518</v>
      </c>
      <c r="K19" s="4">
        <v>41548</v>
      </c>
      <c r="L19" s="5">
        <v>41579</v>
      </c>
    </row>
    <row r="20" spans="1:12" x14ac:dyDescent="0.25">
      <c r="A20" s="6" t="str">
        <f>A5</f>
        <v>Biomass/landfill</v>
      </c>
      <c r="B20" s="7">
        <f>B5/1000</f>
        <v>187.31810999999999</v>
      </c>
      <c r="C20" s="7">
        <f t="shared" ref="C20:L20" si="0">C5/1000</f>
        <v>313.08246999999994</v>
      </c>
      <c r="D20" s="7">
        <f t="shared" si="0"/>
        <v>239.95904000000004</v>
      </c>
      <c r="E20" s="7">
        <f t="shared" si="0"/>
        <v>233.74559000000002</v>
      </c>
      <c r="F20" s="7">
        <f t="shared" si="0"/>
        <v>310.86167999999998</v>
      </c>
      <c r="G20" s="7">
        <f t="shared" si="0"/>
        <v>298.81408999999996</v>
      </c>
      <c r="H20" s="7">
        <f t="shared" si="0"/>
        <v>288.10212999999999</v>
      </c>
      <c r="I20" s="7">
        <f t="shared" si="0"/>
        <v>321.947</v>
      </c>
      <c r="J20" s="7">
        <f t="shared" si="0"/>
        <v>323.29408461286539</v>
      </c>
      <c r="K20" s="7">
        <f t="shared" si="0"/>
        <v>344.21265999999997</v>
      </c>
      <c r="L20" s="8">
        <f t="shared" si="0"/>
        <v>326.76638000000003</v>
      </c>
    </row>
    <row r="21" spans="1:12" x14ac:dyDescent="0.25">
      <c r="A21" s="6" t="str">
        <f t="shared" ref="A21:A25" si="1">A6</f>
        <v>Conservation</v>
      </c>
      <c r="B21" s="7">
        <f t="shared" ref="B21:L25" si="2">B6/1000</f>
        <v>26303.700550000001</v>
      </c>
      <c r="C21" s="7">
        <f t="shared" si="2"/>
        <v>20030.02261</v>
      </c>
      <c r="D21" s="7">
        <f t="shared" si="2"/>
        <v>24799.552350000002</v>
      </c>
      <c r="E21" s="7">
        <f t="shared" si="2"/>
        <v>30434.905910000001</v>
      </c>
      <c r="F21" s="7">
        <f t="shared" si="2"/>
        <v>17967.066460000002</v>
      </c>
      <c r="G21" s="7">
        <f t="shared" si="2"/>
        <v>54295.210530000004</v>
      </c>
      <c r="H21" s="7">
        <f t="shared" si="2"/>
        <v>-11448.55545</v>
      </c>
      <c r="I21" s="7">
        <f t="shared" si="2"/>
        <v>22183.086789999998</v>
      </c>
      <c r="J21" s="7">
        <f t="shared" si="2"/>
        <v>22067.509239999999</v>
      </c>
      <c r="K21" s="7">
        <f t="shared" si="2"/>
        <v>23641.78096</v>
      </c>
      <c r="L21" s="8">
        <f t="shared" si="2"/>
        <v>23919.16948</v>
      </c>
    </row>
    <row r="22" spans="1:12" x14ac:dyDescent="0.25">
      <c r="A22" s="6" t="str">
        <f t="shared" si="1"/>
        <v>Hydro</v>
      </c>
      <c r="B22" s="7">
        <f t="shared" si="2"/>
        <v>17911.962536180574</v>
      </c>
      <c r="C22" s="7">
        <f t="shared" si="2"/>
        <v>23660.24603339914</v>
      </c>
      <c r="D22" s="7">
        <f t="shared" si="2"/>
        <v>17777.26786802489</v>
      </c>
      <c r="E22" s="7">
        <f t="shared" si="2"/>
        <v>11346.634785329696</v>
      </c>
      <c r="F22" s="7">
        <f t="shared" si="2"/>
        <v>26404.406517042535</v>
      </c>
      <c r="G22" s="7">
        <f t="shared" si="2"/>
        <v>24112.710810916426</v>
      </c>
      <c r="H22" s="7">
        <f t="shared" si="2"/>
        <v>18219.151243291442</v>
      </c>
      <c r="I22" s="7">
        <f t="shared" si="2"/>
        <v>24613.782535602557</v>
      </c>
      <c r="J22" s="7">
        <f t="shared" si="2"/>
        <v>21097.635359237098</v>
      </c>
      <c r="K22" s="7">
        <f t="shared" si="2"/>
        <v>19411.946778253288</v>
      </c>
      <c r="L22" s="8">
        <f t="shared" si="2"/>
        <v>29511.621450263181</v>
      </c>
    </row>
    <row r="23" spans="1:12" x14ac:dyDescent="0.25">
      <c r="A23" s="6" t="str">
        <f t="shared" si="1"/>
        <v>Natural gas</v>
      </c>
      <c r="B23" s="7">
        <f t="shared" si="2"/>
        <v>95231.416479536943</v>
      </c>
      <c r="C23" s="7">
        <f t="shared" si="2"/>
        <v>104758.27091484808</v>
      </c>
      <c r="D23" s="7">
        <f t="shared" si="2"/>
        <v>102424.36768285098</v>
      </c>
      <c r="E23" s="7">
        <f t="shared" si="2"/>
        <v>111119.03169389382</v>
      </c>
      <c r="F23" s="7">
        <f t="shared" si="2"/>
        <v>128757.70696876106</v>
      </c>
      <c r="G23" s="7">
        <f t="shared" si="2"/>
        <v>114709.25686637168</v>
      </c>
      <c r="H23" s="7">
        <f t="shared" si="2"/>
        <v>100163.9657423009</v>
      </c>
      <c r="I23" s="7">
        <f t="shared" si="2"/>
        <v>104777.56411000002</v>
      </c>
      <c r="J23" s="7">
        <f t="shared" si="2"/>
        <v>72119.891115840699</v>
      </c>
      <c r="K23" s="7">
        <f t="shared" si="2"/>
        <v>88333.393501769911</v>
      </c>
      <c r="L23" s="8">
        <f t="shared" si="2"/>
        <v>81855.723316460178</v>
      </c>
    </row>
    <row r="24" spans="1:12" x14ac:dyDescent="0.25">
      <c r="A24" s="6" t="str">
        <f t="shared" si="1"/>
        <v>Nuclear</v>
      </c>
      <c r="B24" s="7">
        <f t="shared" si="2"/>
        <v>171904.30637302625</v>
      </c>
      <c r="C24" s="7">
        <f t="shared" si="2"/>
        <v>102224.68523999979</v>
      </c>
      <c r="D24" s="7">
        <f t="shared" si="2"/>
        <v>102530.38116797381</v>
      </c>
      <c r="E24" s="7">
        <f t="shared" si="2"/>
        <v>131341.11921000012</v>
      </c>
      <c r="F24" s="7">
        <f t="shared" si="2"/>
        <v>125723.47547999991</v>
      </c>
      <c r="G24" s="7">
        <f t="shared" si="2"/>
        <v>163234.14337000021</v>
      </c>
      <c r="H24" s="7">
        <f t="shared" si="2"/>
        <v>175859.00979999985</v>
      </c>
      <c r="I24" s="7">
        <f t="shared" si="2"/>
        <v>161331.42065999989</v>
      </c>
      <c r="J24" s="7">
        <f t="shared" si="2"/>
        <v>184763.25595400023</v>
      </c>
      <c r="K24" s="7">
        <f t="shared" si="2"/>
        <v>122960.60016999996</v>
      </c>
      <c r="L24" s="8">
        <f t="shared" si="2"/>
        <v>254249.22117172016</v>
      </c>
    </row>
    <row r="25" spans="1:12" x14ac:dyDescent="0.25">
      <c r="A25" s="6" t="str">
        <f t="shared" si="1"/>
        <v>Others</v>
      </c>
      <c r="B25" s="7">
        <f t="shared" si="2"/>
        <v>275.41884999999996</v>
      </c>
      <c r="C25" s="7">
        <f t="shared" si="2"/>
        <v>-2580.7340399999998</v>
      </c>
      <c r="D25" s="7">
        <f t="shared" si="2"/>
        <v>-555.74739</v>
      </c>
      <c r="E25" s="7">
        <f t="shared" si="2"/>
        <v>-2410.6786899999997</v>
      </c>
      <c r="F25" s="7">
        <f t="shared" si="2"/>
        <v>-1667.1955</v>
      </c>
      <c r="G25" s="7">
        <f t="shared" si="2"/>
        <v>38.259730000000005</v>
      </c>
      <c r="H25" s="7">
        <f t="shared" si="2"/>
        <v>-54.47701</v>
      </c>
      <c r="I25" s="7">
        <f t="shared" si="2"/>
        <v>-67.393969999999996</v>
      </c>
      <c r="J25" s="7">
        <f t="shared" si="2"/>
        <v>-2006.0882300000001</v>
      </c>
      <c r="K25" s="7">
        <f t="shared" si="2"/>
        <v>-411.13271000000003</v>
      </c>
      <c r="L25" s="8">
        <f t="shared" si="2"/>
        <v>-775.60514000000001</v>
      </c>
    </row>
    <row r="26" spans="1:12" x14ac:dyDescent="0.25">
      <c r="A26" s="6" t="s">
        <v>24</v>
      </c>
      <c r="B26" s="7">
        <f>(B11+B12)/1000</f>
        <v>36937.64553514999</v>
      </c>
      <c r="C26" s="7">
        <f t="shared" ref="C26:L26" si="3">(C11+C12)/1000</f>
        <v>36552.954067600011</v>
      </c>
      <c r="D26" s="7">
        <f t="shared" si="3"/>
        <v>36454.213409321594</v>
      </c>
      <c r="E26" s="7">
        <f t="shared" si="3"/>
        <v>39594.835021589999</v>
      </c>
      <c r="F26" s="7">
        <f t="shared" si="3"/>
        <v>33833.206918219999</v>
      </c>
      <c r="G26" s="7">
        <f t="shared" si="3"/>
        <v>27107.453767990002</v>
      </c>
      <c r="H26" s="7">
        <f t="shared" si="3"/>
        <v>19137.134164719995</v>
      </c>
      <c r="I26" s="7">
        <f t="shared" si="3"/>
        <v>19302.7097593</v>
      </c>
      <c r="J26" s="7">
        <f t="shared" si="3"/>
        <v>21305.706757733569</v>
      </c>
      <c r="K26" s="7">
        <f t="shared" si="3"/>
        <v>35239.302855446433</v>
      </c>
      <c r="L26" s="8">
        <f t="shared" si="3"/>
        <v>78228.94057821999</v>
      </c>
    </row>
    <row r="27" spans="1:12" x14ac:dyDescent="0.25">
      <c r="A27" s="9" t="str">
        <f>A13</f>
        <v>By-products</v>
      </c>
      <c r="B27" s="10">
        <f t="shared" ref="B27:L27" si="4">B13/1000</f>
        <v>2488.1760100000001</v>
      </c>
      <c r="C27" s="10">
        <f t="shared" si="4"/>
        <v>2383.4151200000001</v>
      </c>
      <c r="D27" s="10">
        <f t="shared" si="4"/>
        <v>2563.1226699999997</v>
      </c>
      <c r="E27" s="10">
        <f t="shared" si="4"/>
        <v>2705.3758800000001</v>
      </c>
      <c r="F27" s="10">
        <f t="shared" si="4"/>
        <v>3005.9562900000001</v>
      </c>
      <c r="G27" s="10">
        <f t="shared" si="4"/>
        <v>2986.51602</v>
      </c>
      <c r="H27" s="10">
        <f t="shared" si="4"/>
        <v>1718.0236568261992</v>
      </c>
      <c r="I27" s="10">
        <f t="shared" si="4"/>
        <v>3260.5675499999998</v>
      </c>
      <c r="J27" s="10">
        <f t="shared" si="4"/>
        <v>3323.1868000000004</v>
      </c>
      <c r="K27" s="10">
        <f t="shared" si="4"/>
        <v>3019.4129499999999</v>
      </c>
      <c r="L27" s="11">
        <f t="shared" si="4"/>
        <v>3149.7127599999999</v>
      </c>
    </row>
    <row r="28" spans="1:12" x14ac:dyDescent="0.25">
      <c r="A28" s="3" t="s">
        <v>25</v>
      </c>
      <c r="B28" s="12">
        <f>SUM(B20:B27)</f>
        <v>351239.94444389379</v>
      </c>
      <c r="C28" s="12">
        <f t="shared" ref="C28:L28" si="5">SUM(C20:C27)</f>
        <v>287341.94241584704</v>
      </c>
      <c r="D28" s="12">
        <f t="shared" si="5"/>
        <v>286233.11679817125</v>
      </c>
      <c r="E28" s="12">
        <f t="shared" si="5"/>
        <v>324364.96940081363</v>
      </c>
      <c r="F28" s="12">
        <f t="shared" si="5"/>
        <v>334335.48481402348</v>
      </c>
      <c r="G28" s="12">
        <f t="shared" si="5"/>
        <v>386782.36518527829</v>
      </c>
      <c r="H28" s="12">
        <f t="shared" si="5"/>
        <v>303882.35427713842</v>
      </c>
      <c r="I28" s="12">
        <f t="shared" si="5"/>
        <v>335723.68443490245</v>
      </c>
      <c r="J28" s="12">
        <f t="shared" si="5"/>
        <v>322994.39108142455</v>
      </c>
      <c r="K28" s="12">
        <f t="shared" si="5"/>
        <v>292539.51716546959</v>
      </c>
      <c r="L28" s="13">
        <f t="shared" si="5"/>
        <v>470465.54999666353</v>
      </c>
    </row>
    <row r="29" spans="1:12" x14ac:dyDescent="0.25">
      <c r="B29" s="2"/>
      <c r="C29" s="2"/>
      <c r="D29" s="2"/>
      <c r="E29" s="2"/>
      <c r="F29" s="2"/>
      <c r="G29" s="2"/>
      <c r="H29" s="2"/>
      <c r="I29" s="2"/>
      <c r="J29" s="2"/>
      <c r="K29" s="2"/>
      <c r="L29" s="2"/>
    </row>
    <row r="31" spans="1:12" x14ac:dyDescent="0.25">
      <c r="B31" s="2"/>
      <c r="C31" s="2"/>
      <c r="D31" s="2"/>
      <c r="E31" s="2"/>
      <c r="F31" s="2"/>
      <c r="G31" s="2"/>
      <c r="H31" s="2"/>
      <c r="I31" s="2"/>
      <c r="J31" s="2"/>
      <c r="K31" s="2"/>
      <c r="L31" s="2"/>
    </row>
  </sheetData>
  <pageMargins left="0.7" right="0.7" top="0.75" bottom="0.75" header="0.3" footer="0.3"/>
  <pageSetup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8"/>
  <sheetViews>
    <sheetView showGridLines="0" workbookViewId="0">
      <selection activeCell="S38" sqref="S38"/>
    </sheetView>
  </sheetViews>
  <sheetFormatPr defaultColWidth="8.85546875" defaultRowHeight="15" x14ac:dyDescent="0.25"/>
  <cols>
    <col min="1" max="1" width="26.85546875" customWidth="1"/>
    <col min="2" max="2" width="9.42578125" bestFit="1" customWidth="1"/>
    <col min="3" max="3" width="9.85546875" bestFit="1" customWidth="1"/>
    <col min="4" max="4" width="9.42578125" bestFit="1" customWidth="1"/>
    <col min="5" max="5" width="9.140625" bestFit="1" customWidth="1"/>
    <col min="6" max="7" width="9.42578125" bestFit="1" customWidth="1"/>
    <col min="8" max="8" width="10" bestFit="1" customWidth="1"/>
    <col min="9" max="9" width="9.28515625" bestFit="1" customWidth="1"/>
    <col min="10" max="10" width="8.85546875" bestFit="1" customWidth="1"/>
    <col min="11" max="11" width="9.7109375" bestFit="1" customWidth="1"/>
    <col min="12" max="12" width="9.42578125" bestFit="1" customWidth="1"/>
    <col min="13" max="17" width="8.85546875" bestFit="1" customWidth="1"/>
    <col min="18" max="22" width="9.28515625" bestFit="1" customWidth="1"/>
    <col min="23" max="45" width="10.42578125" bestFit="1" customWidth="1"/>
    <col min="46" max="74" width="9.28515625" bestFit="1" customWidth="1"/>
  </cols>
  <sheetData>
    <row r="1" spans="1:74" x14ac:dyDescent="0.25">
      <c r="B1" s="14">
        <v>39356</v>
      </c>
      <c r="C1" s="14">
        <v>39387</v>
      </c>
      <c r="D1" s="14">
        <v>39417</v>
      </c>
      <c r="E1" s="14">
        <v>39448</v>
      </c>
      <c r="F1" s="14">
        <v>39479</v>
      </c>
      <c r="G1" s="14">
        <v>39539</v>
      </c>
      <c r="H1" s="14">
        <v>39569</v>
      </c>
      <c r="I1" s="14">
        <v>39600</v>
      </c>
      <c r="J1" s="14">
        <v>39630</v>
      </c>
      <c r="K1" s="14">
        <v>39661</v>
      </c>
      <c r="L1" s="14">
        <v>39692</v>
      </c>
      <c r="M1" s="14">
        <v>39722</v>
      </c>
      <c r="N1" s="14">
        <v>39753</v>
      </c>
      <c r="O1" s="14">
        <v>39783</v>
      </c>
      <c r="P1" s="14">
        <v>39814</v>
      </c>
      <c r="Q1" s="15" t="s">
        <v>26</v>
      </c>
      <c r="R1" s="15" t="s">
        <v>27</v>
      </c>
      <c r="S1" s="15" t="s">
        <v>28</v>
      </c>
      <c r="T1" s="15" t="s">
        <v>29</v>
      </c>
      <c r="U1" s="15" t="s">
        <v>30</v>
      </c>
      <c r="V1" s="16" t="s">
        <v>31</v>
      </c>
      <c r="W1" s="15" t="s">
        <v>32</v>
      </c>
      <c r="X1" s="15" t="s">
        <v>33</v>
      </c>
      <c r="Y1" s="15" t="s">
        <v>34</v>
      </c>
      <c r="Z1" s="15" t="s">
        <v>35</v>
      </c>
      <c r="AA1" s="15" t="s">
        <v>36</v>
      </c>
      <c r="AB1" s="15" t="s">
        <v>37</v>
      </c>
      <c r="AC1" s="15" t="s">
        <v>38</v>
      </c>
      <c r="AD1" s="15" t="s">
        <v>39</v>
      </c>
      <c r="AE1" s="15" t="s">
        <v>40</v>
      </c>
      <c r="AF1" s="15" t="s">
        <v>41</v>
      </c>
      <c r="AG1" s="17" t="s">
        <v>42</v>
      </c>
      <c r="AH1" s="17" t="s">
        <v>43</v>
      </c>
      <c r="AI1" s="17" t="s">
        <v>44</v>
      </c>
      <c r="AJ1" s="17" t="s">
        <v>45</v>
      </c>
      <c r="AK1" s="17" t="s">
        <v>46</v>
      </c>
      <c r="AL1" s="17" t="s">
        <v>47</v>
      </c>
      <c r="AM1" s="17" t="s">
        <v>48</v>
      </c>
      <c r="AN1" s="17" t="s">
        <v>49</v>
      </c>
      <c r="AO1" s="17" t="s">
        <v>50</v>
      </c>
      <c r="AP1" s="17" t="s">
        <v>51</v>
      </c>
      <c r="AQ1" s="17" t="s">
        <v>52</v>
      </c>
      <c r="AR1" s="17" t="s">
        <v>53</v>
      </c>
      <c r="AS1" s="17" t="s">
        <v>54</v>
      </c>
      <c r="AT1" s="17" t="s">
        <v>55</v>
      </c>
      <c r="AU1" s="17" t="s">
        <v>56</v>
      </c>
      <c r="AV1" s="17" t="s">
        <v>57</v>
      </c>
      <c r="AW1" s="17" t="s">
        <v>58</v>
      </c>
      <c r="AX1" s="17" t="s">
        <v>59</v>
      </c>
      <c r="AY1" s="17" t="s">
        <v>60</v>
      </c>
      <c r="AZ1" s="17" t="s">
        <v>61</v>
      </c>
      <c r="BA1" s="17" t="s">
        <v>62</v>
      </c>
      <c r="BB1" s="17" t="s">
        <v>63</v>
      </c>
      <c r="BC1" s="17" t="s">
        <v>64</v>
      </c>
      <c r="BD1" s="17" t="s">
        <v>65</v>
      </c>
      <c r="BE1" s="17" t="s">
        <v>66</v>
      </c>
      <c r="BF1" s="17" t="s">
        <v>67</v>
      </c>
      <c r="BG1" s="17" t="s">
        <v>68</v>
      </c>
      <c r="BH1" s="17" t="s">
        <v>69</v>
      </c>
      <c r="BI1" s="17" t="s">
        <v>70</v>
      </c>
      <c r="BJ1" s="17" t="s">
        <v>71</v>
      </c>
      <c r="BK1" s="17" t="s">
        <v>72</v>
      </c>
      <c r="BL1" s="17" t="s">
        <v>73</v>
      </c>
      <c r="BM1" s="18" t="s">
        <v>74</v>
      </c>
      <c r="BN1" s="18" t="s">
        <v>75</v>
      </c>
      <c r="BO1" s="18" t="s">
        <v>76</v>
      </c>
      <c r="BP1" s="18" t="s">
        <v>77</v>
      </c>
      <c r="BQ1" s="18" t="s">
        <v>78</v>
      </c>
      <c r="BR1" s="18" t="s">
        <v>79</v>
      </c>
      <c r="BS1" s="18" t="s">
        <v>80</v>
      </c>
      <c r="BT1" s="18" t="s">
        <v>81</v>
      </c>
      <c r="BU1" s="18" t="s">
        <v>82</v>
      </c>
      <c r="BV1" s="18" t="s">
        <v>83</v>
      </c>
    </row>
    <row r="2" spans="1:74" x14ac:dyDescent="0.25">
      <c r="A2" s="19" t="s">
        <v>84</v>
      </c>
      <c r="B2" s="20">
        <v>35.711048999999996</v>
      </c>
      <c r="C2" s="20">
        <v>45.238909</v>
      </c>
      <c r="D2" s="20">
        <v>41.370872000000006</v>
      </c>
      <c r="E2" s="20">
        <v>56.903161999999995</v>
      </c>
      <c r="F2" s="20">
        <v>46.502781999999996</v>
      </c>
      <c r="G2" s="20">
        <v>43.078055999999997</v>
      </c>
      <c r="H2" s="20">
        <v>44.753561000000005</v>
      </c>
      <c r="I2" s="20">
        <v>24.778928000000001</v>
      </c>
      <c r="J2" s="20">
        <v>26.095876000000001</v>
      </c>
      <c r="K2" s="20">
        <v>31.100301999999999</v>
      </c>
      <c r="L2" s="20">
        <v>24.954839</v>
      </c>
      <c r="M2" s="20">
        <v>47.099677</v>
      </c>
      <c r="N2" s="21">
        <v>42.413821000000006</v>
      </c>
      <c r="O2" s="21">
        <v>51.5565</v>
      </c>
      <c r="P2" s="21">
        <v>41.916086</v>
      </c>
      <c r="Q2" s="21">
        <v>40.314703000000002</v>
      </c>
      <c r="R2" s="21">
        <v>63.960542000000004</v>
      </c>
      <c r="S2" s="21">
        <v>69.854910999999987</v>
      </c>
      <c r="T2" s="21">
        <v>76.670050000000003</v>
      </c>
      <c r="U2" s="21">
        <v>91.929547999999997</v>
      </c>
      <c r="V2" s="21">
        <v>89.806200000000004</v>
      </c>
      <c r="W2" s="21">
        <v>106.74197599999999</v>
      </c>
      <c r="X2" s="21">
        <v>72.422954000000004</v>
      </c>
      <c r="Y2" s="21">
        <v>106.636785</v>
      </c>
      <c r="Z2" s="21">
        <v>106.322958</v>
      </c>
      <c r="AA2" s="21">
        <v>95.036620999999997</v>
      </c>
      <c r="AB2" s="21">
        <v>96.837130000000002</v>
      </c>
      <c r="AC2" s="21">
        <v>108.90419199999999</v>
      </c>
      <c r="AD2" s="21">
        <v>111.227261</v>
      </c>
      <c r="AE2" s="21">
        <v>97.724964000000014</v>
      </c>
      <c r="AF2" s="21">
        <v>77.119149999999991</v>
      </c>
      <c r="AG2" s="21">
        <v>49.726835000000001</v>
      </c>
      <c r="AH2" s="21">
        <v>47.382222999999996</v>
      </c>
      <c r="AI2" s="21">
        <v>30.957217</v>
      </c>
      <c r="AJ2" s="21">
        <v>43.379351999999997</v>
      </c>
      <c r="AK2" s="21">
        <v>99.178739000000007</v>
      </c>
      <c r="AL2" s="21">
        <v>92.419792000000001</v>
      </c>
      <c r="AM2" s="21">
        <v>104.81267</v>
      </c>
      <c r="AN2" s="21">
        <v>110.06706200000001</v>
      </c>
      <c r="AO2" s="21">
        <v>94.185414999999992</v>
      </c>
      <c r="AP2" s="21">
        <v>101.245452</v>
      </c>
      <c r="AQ2" s="21">
        <v>82.255373000000006</v>
      </c>
      <c r="AR2" s="21">
        <v>82.124769999999998</v>
      </c>
      <c r="AS2" s="21">
        <v>102.05155000000001</v>
      </c>
      <c r="AT2" s="21">
        <v>86.972076000000001</v>
      </c>
      <c r="AU2" s="21">
        <v>64.536653999999999</v>
      </c>
      <c r="AV2" s="21">
        <v>50.518872999999999</v>
      </c>
      <c r="AW2" s="21">
        <v>88.878167000000005</v>
      </c>
      <c r="AX2" s="21">
        <v>103.584039</v>
      </c>
      <c r="AY2" s="21">
        <v>116.544178</v>
      </c>
      <c r="AZ2" s="21">
        <v>105.903784</v>
      </c>
      <c r="BA2" s="21">
        <v>103.43421000000001</v>
      </c>
      <c r="BB2" s="21">
        <v>119.373035</v>
      </c>
      <c r="BC2" s="21">
        <v>91.249637000000007</v>
      </c>
      <c r="BD2" s="21">
        <v>92.280792000000005</v>
      </c>
      <c r="BE2" s="21">
        <v>82.009178000000006</v>
      </c>
      <c r="BF2" s="21">
        <v>61.854851000000004</v>
      </c>
      <c r="BG2" s="21">
        <v>73.13480100000001</v>
      </c>
      <c r="BH2" s="21">
        <v>77.974620000000002</v>
      </c>
      <c r="BI2" s="21">
        <v>77.995706999999996</v>
      </c>
      <c r="BJ2" s="21">
        <v>108.86717900000001</v>
      </c>
      <c r="BK2" s="21">
        <v>96.903936000000002</v>
      </c>
      <c r="BL2" s="21">
        <v>100.636352</v>
      </c>
      <c r="BM2" s="21">
        <v>93.200186000000002</v>
      </c>
      <c r="BN2" s="21">
        <v>112.673247</v>
      </c>
      <c r="BO2" s="21">
        <v>90.109570000000005</v>
      </c>
      <c r="BP2" s="21">
        <v>90.660015000000001</v>
      </c>
      <c r="BQ2" s="21">
        <v>90.528554999999997</v>
      </c>
      <c r="BR2" s="21">
        <v>79.43121099999999</v>
      </c>
      <c r="BS2" s="21">
        <v>89.223016000000001</v>
      </c>
      <c r="BT2" s="21">
        <v>86.130171000000004</v>
      </c>
      <c r="BU2" s="21">
        <v>99.127793000000011</v>
      </c>
      <c r="BV2" s="21">
        <v>112.043239</v>
      </c>
    </row>
    <row r="3" spans="1:74" x14ac:dyDescent="0.25">
      <c r="A3" s="19" t="s">
        <v>85</v>
      </c>
      <c r="B3" s="20">
        <v>-20.525362410000003</v>
      </c>
      <c r="C3" s="20">
        <v>-10.352523760000002</v>
      </c>
      <c r="D3" s="20">
        <v>-19.03819408</v>
      </c>
      <c r="E3" s="20">
        <v>30.439440250000001</v>
      </c>
      <c r="F3" s="20">
        <v>-36.623879870000003</v>
      </c>
      <c r="G3" s="20">
        <v>-21.165536170000003</v>
      </c>
      <c r="H3" s="20">
        <v>45.816550679999999</v>
      </c>
      <c r="I3" s="20">
        <v>-64.589550200000005</v>
      </c>
      <c r="J3" s="20">
        <v>-63.687085989999993</v>
      </c>
      <c r="K3" s="20">
        <v>-7.9286253400000017</v>
      </c>
      <c r="L3" s="20">
        <v>-20.32955385</v>
      </c>
      <c r="M3" s="20">
        <v>1.7160629499999993</v>
      </c>
      <c r="N3" s="21">
        <v>-33.881007319999995</v>
      </c>
      <c r="O3" s="21">
        <v>43.825343079999996</v>
      </c>
      <c r="P3" s="21">
        <v>4.422951999999955E-2</v>
      </c>
      <c r="Q3" s="21">
        <v>28.37762489</v>
      </c>
      <c r="R3" s="21">
        <v>136.92436189000003</v>
      </c>
      <c r="S3" s="21">
        <v>167.34908747</v>
      </c>
      <c r="T3" s="21">
        <v>99.72366851000001</v>
      </c>
      <c r="U3" s="21">
        <v>167.26943188999996</v>
      </c>
      <c r="V3" s="21">
        <v>202.29161485</v>
      </c>
      <c r="W3" s="21">
        <v>168.26799761999999</v>
      </c>
      <c r="X3" s="21">
        <v>189.86465018999999</v>
      </c>
      <c r="Y3" s="21">
        <v>133.44506129999999</v>
      </c>
      <c r="Z3" s="21">
        <v>148.62944105000003</v>
      </c>
      <c r="AA3" s="21">
        <v>109.06701388</v>
      </c>
      <c r="AB3" s="21">
        <v>77.479095239999992</v>
      </c>
      <c r="AC3" s="21">
        <v>71.56804391</v>
      </c>
      <c r="AD3" s="21">
        <v>124.14309319</v>
      </c>
      <c r="AE3" s="21">
        <v>89.43471510000002</v>
      </c>
      <c r="AF3" s="21">
        <v>41.361115340000005</v>
      </c>
      <c r="AG3" s="21">
        <v>50.826347849999991</v>
      </c>
      <c r="AH3" s="21">
        <v>-5.3351019800000001</v>
      </c>
      <c r="AI3" s="21">
        <v>27.801966809999996</v>
      </c>
      <c r="AJ3" s="21">
        <v>97.780631549999995</v>
      </c>
      <c r="AK3" s="21">
        <v>108.87092155000001</v>
      </c>
      <c r="AL3" s="21">
        <v>101.50720105000001</v>
      </c>
      <c r="AM3" s="21">
        <v>103.92273338</v>
      </c>
      <c r="AN3" s="21">
        <v>118.59152856999999</v>
      </c>
      <c r="AO3" s="21">
        <v>94.255134279999993</v>
      </c>
      <c r="AP3" s="21">
        <v>96.654176590000006</v>
      </c>
      <c r="AQ3" s="21">
        <v>114.91692191</v>
      </c>
      <c r="AR3" s="21">
        <v>146.95069003</v>
      </c>
      <c r="AS3" s="21">
        <v>92.56137769</v>
      </c>
      <c r="AT3" s="21">
        <v>80.391972539999998</v>
      </c>
      <c r="AU3" s="21">
        <v>111.99280784000001</v>
      </c>
      <c r="AV3" s="21">
        <v>105.04244458999999</v>
      </c>
      <c r="AW3" s="21">
        <v>118.85853734999999</v>
      </c>
      <c r="AX3" s="21">
        <v>119.53790850999999</v>
      </c>
      <c r="AY3" s="21">
        <v>146.98953438000001</v>
      </c>
      <c r="AZ3" s="21">
        <v>152.07321773000004</v>
      </c>
      <c r="BA3" s="21">
        <v>160.18482850999999</v>
      </c>
      <c r="BB3" s="21">
        <v>202.41764331000002</v>
      </c>
      <c r="BC3" s="21">
        <v>167.51077527999996</v>
      </c>
      <c r="BD3" s="21">
        <v>170.88310321</v>
      </c>
      <c r="BE3" s="21">
        <v>176.08826529999999</v>
      </c>
      <c r="BF3" s="21">
        <v>114.11972812999998</v>
      </c>
      <c r="BG3" s="21">
        <v>142.15546558000003</v>
      </c>
      <c r="BH3" s="21">
        <v>131.50245139</v>
      </c>
      <c r="BI3" s="21">
        <v>152.52537820999996</v>
      </c>
      <c r="BJ3" s="21">
        <v>132.64059444999998</v>
      </c>
      <c r="BK3" s="21">
        <v>146.26343023999999</v>
      </c>
      <c r="BL3" s="21">
        <v>125.09099068</v>
      </c>
      <c r="BM3" s="21">
        <v>108.98407985999999</v>
      </c>
      <c r="BN3" s="21">
        <v>111.81844411</v>
      </c>
      <c r="BO3" s="21">
        <v>136.26394687000001</v>
      </c>
      <c r="BP3" s="21">
        <v>155.14201462</v>
      </c>
      <c r="BQ3" s="21">
        <v>161.13079102999998</v>
      </c>
      <c r="BR3" s="21">
        <v>139.09038547</v>
      </c>
      <c r="BS3" s="21">
        <v>180.19974382000001</v>
      </c>
      <c r="BT3" s="21">
        <v>163.15951284000002</v>
      </c>
      <c r="BU3" s="21">
        <v>156.97170936999999</v>
      </c>
      <c r="BV3" s="21">
        <v>197.24468096000001</v>
      </c>
    </row>
    <row r="4" spans="1:74" x14ac:dyDescent="0.25">
      <c r="A4" s="19" t="s">
        <v>86</v>
      </c>
      <c r="B4" s="20">
        <v>26.267478430000001</v>
      </c>
      <c r="C4" s="20">
        <v>44.77517864</v>
      </c>
      <c r="D4" s="20">
        <v>38.236878130000008</v>
      </c>
      <c r="E4" s="20">
        <v>30.17321789</v>
      </c>
      <c r="F4" s="20">
        <v>34.141159089999995</v>
      </c>
      <c r="G4" s="20">
        <v>43.39202418</v>
      </c>
      <c r="H4" s="20">
        <v>83.500158200000001</v>
      </c>
      <c r="I4" s="20">
        <v>38.603429649999995</v>
      </c>
      <c r="J4" s="20">
        <v>79.836718510000011</v>
      </c>
      <c r="K4" s="20">
        <v>66.79693481999999</v>
      </c>
      <c r="L4" s="20">
        <v>30.2877969</v>
      </c>
      <c r="M4" s="20">
        <v>44.067945450000003</v>
      </c>
      <c r="N4" s="21">
        <v>49.83652202999999</v>
      </c>
      <c r="O4" s="21">
        <v>73.949438099999995</v>
      </c>
      <c r="P4" s="21">
        <v>-25.490615890000001</v>
      </c>
      <c r="Q4" s="21">
        <v>80.238974409999997</v>
      </c>
      <c r="R4" s="21">
        <v>134.27565681999999</v>
      </c>
      <c r="S4" s="21">
        <v>168.84898071999996</v>
      </c>
      <c r="T4" s="21">
        <v>152.86472892</v>
      </c>
      <c r="U4" s="21">
        <v>146.72763017000003</v>
      </c>
      <c r="V4" s="21">
        <v>174.78742668999999</v>
      </c>
      <c r="W4" s="21">
        <v>178.40239116000004</v>
      </c>
      <c r="X4" s="21">
        <v>168.81788058000001</v>
      </c>
      <c r="Y4" s="21">
        <v>142.60497320000002</v>
      </c>
      <c r="Z4" s="21">
        <v>197.55588049000002</v>
      </c>
      <c r="AA4" s="21">
        <v>186.38758228</v>
      </c>
      <c r="AB4" s="21">
        <v>177.96532901999998</v>
      </c>
      <c r="AC4" s="21">
        <v>121.71686694999998</v>
      </c>
      <c r="AD4" s="21">
        <v>215.75444101000002</v>
      </c>
      <c r="AE4" s="21">
        <v>183.92987112</v>
      </c>
      <c r="AF4" s="21">
        <v>154.74700244000002</v>
      </c>
      <c r="AG4" s="21">
        <v>181.88195504000001</v>
      </c>
      <c r="AH4" s="21">
        <v>56.800229200000004</v>
      </c>
      <c r="AI4" s="21">
        <v>98.975817590000005</v>
      </c>
      <c r="AJ4" s="21">
        <v>172.49866500000002</v>
      </c>
      <c r="AK4" s="21">
        <v>236.10920634000001</v>
      </c>
      <c r="AL4" s="21">
        <v>195.49953970000493</v>
      </c>
      <c r="AM4" s="21">
        <v>203.65757635999998</v>
      </c>
      <c r="AN4" s="21">
        <v>240.41605443000003</v>
      </c>
      <c r="AO4" s="21">
        <v>205.00584963999998</v>
      </c>
      <c r="AP4" s="21">
        <v>229.81335312000002</v>
      </c>
      <c r="AQ4" s="21">
        <v>243.26438944999998</v>
      </c>
      <c r="AR4" s="21">
        <v>269.15386191000005</v>
      </c>
      <c r="AS4" s="21">
        <v>228.52739556000003</v>
      </c>
      <c r="AT4" s="21">
        <v>224.33694528000007</v>
      </c>
      <c r="AU4" s="21">
        <v>249.62406164000004</v>
      </c>
      <c r="AV4" s="21">
        <v>235.90750973999997</v>
      </c>
      <c r="AW4" s="21">
        <v>249.13340804999999</v>
      </c>
      <c r="AX4" s="21">
        <v>227.89816841000004</v>
      </c>
      <c r="AY4" s="21">
        <v>276.92451109999996</v>
      </c>
      <c r="AZ4" s="21">
        <v>254.37062368999997</v>
      </c>
      <c r="BA4" s="21">
        <v>286.35663617999995</v>
      </c>
      <c r="BB4" s="21">
        <v>344.72487586999995</v>
      </c>
      <c r="BC4" s="21">
        <v>335.96855066000001</v>
      </c>
      <c r="BD4" s="21">
        <v>315.04760118000002</v>
      </c>
      <c r="BE4" s="21">
        <v>326.73890926000007</v>
      </c>
      <c r="BF4" s="21">
        <v>245.68302370999999</v>
      </c>
      <c r="BG4" s="21">
        <v>269.3449103800001</v>
      </c>
      <c r="BH4" s="21">
        <v>269.63524666000001</v>
      </c>
      <c r="BI4" s="21">
        <v>315.07080330999997</v>
      </c>
      <c r="BJ4" s="21">
        <v>333.70061885999996</v>
      </c>
      <c r="BK4" s="21">
        <v>219.81828419999999</v>
      </c>
      <c r="BL4" s="21">
        <v>380.22900338999995</v>
      </c>
      <c r="BM4" s="21">
        <v>328.11379796000006</v>
      </c>
      <c r="BN4" s="21">
        <v>330.31627604000005</v>
      </c>
      <c r="BO4" s="21">
        <v>388.4332354099999</v>
      </c>
      <c r="BP4" s="21">
        <v>411.39994410000003</v>
      </c>
      <c r="BQ4" s="21">
        <v>471.73873040999996</v>
      </c>
      <c r="BR4" s="21">
        <v>391.05903194999996</v>
      </c>
      <c r="BS4" s="21">
        <v>430.48312501999993</v>
      </c>
      <c r="BT4" s="21">
        <v>408.06947301000002</v>
      </c>
      <c r="BU4" s="21">
        <v>378.07710987000007</v>
      </c>
      <c r="BV4" s="21">
        <v>537.71127543</v>
      </c>
    </row>
    <row r="5" spans="1:74" ht="15.75" thickBot="1" x14ac:dyDescent="0.3">
      <c r="A5" s="22" t="s">
        <v>87</v>
      </c>
      <c r="B5" s="23">
        <v>630.93988616000001</v>
      </c>
      <c r="C5" s="23">
        <v>664.5970915800001</v>
      </c>
      <c r="D5" s="23">
        <v>595.26981732000013</v>
      </c>
      <c r="E5" s="23">
        <v>619.78818625999997</v>
      </c>
      <c r="F5" s="23">
        <v>735.15523075999999</v>
      </c>
      <c r="G5" s="24">
        <v>762.97475740999994</v>
      </c>
      <c r="H5" s="24">
        <v>814.50355007999997</v>
      </c>
      <c r="I5" s="24">
        <v>735.20906119999995</v>
      </c>
      <c r="J5" s="24">
        <v>696.80539174</v>
      </c>
      <c r="K5" s="24">
        <v>782.85338728000011</v>
      </c>
      <c r="L5" s="24">
        <v>761.75986355999999</v>
      </c>
      <c r="M5" s="25">
        <v>813.19038394000006</v>
      </c>
      <c r="N5" s="25">
        <v>791.89815577000002</v>
      </c>
      <c r="O5" s="25">
        <v>900.65988089999996</v>
      </c>
      <c r="P5" s="25">
        <v>799.61376039000015</v>
      </c>
      <c r="Q5" s="25">
        <v>904.52500147000001</v>
      </c>
      <c r="R5" s="25">
        <v>1226.4406883200002</v>
      </c>
      <c r="S5" s="25">
        <v>1567.1891235000003</v>
      </c>
      <c r="T5" s="25">
        <v>1722.3773010500001</v>
      </c>
      <c r="U5" s="25">
        <v>2129.5111036600001</v>
      </c>
      <c r="V5" s="25">
        <v>2554.1508366799999</v>
      </c>
      <c r="W5" s="25">
        <v>2917.5945899799999</v>
      </c>
      <c r="X5" s="25">
        <v>3313.7869926999997</v>
      </c>
      <c r="Y5" s="25">
        <v>3603.5901268000002</v>
      </c>
      <c r="Z5" s="25">
        <v>3997.72907063</v>
      </c>
      <c r="AA5" s="25">
        <v>4218.8890066099993</v>
      </c>
      <c r="AB5" s="25">
        <v>4554.7008612399995</v>
      </c>
      <c r="AC5" s="25">
        <v>4707.9586618000003</v>
      </c>
      <c r="AD5" s="25">
        <v>4823.9228962899997</v>
      </c>
      <c r="AE5" s="25">
        <v>4788.9594673199999</v>
      </c>
      <c r="AF5" s="25">
        <v>4732.9282876699999</v>
      </c>
      <c r="AG5" s="25">
        <v>4609.4368154999993</v>
      </c>
      <c r="AH5" s="25">
        <v>4241.39892418</v>
      </c>
      <c r="AI5" s="25">
        <v>3945.7215607999997</v>
      </c>
      <c r="AJ5" s="25">
        <v>3828.2747245800001</v>
      </c>
      <c r="AK5" s="25">
        <v>3889.7467719700003</v>
      </c>
      <c r="AL5" s="25">
        <v>3826.6650251800047</v>
      </c>
      <c r="AM5" s="25">
        <v>3848.5667877600049</v>
      </c>
      <c r="AN5" s="25">
        <v>3965.3598785000049</v>
      </c>
      <c r="AO5" s="25">
        <v>4056.617174560005</v>
      </c>
      <c r="AP5" s="25">
        <v>4033.205361070005</v>
      </c>
      <c r="AQ5" s="25">
        <v>4102.552495210005</v>
      </c>
      <c r="AR5" s="25">
        <v>4327.5545493700056</v>
      </c>
      <c r="AS5" s="25">
        <v>4468.2597347300052</v>
      </c>
      <c r="AT5" s="26">
        <v>4761.1133783300047</v>
      </c>
      <c r="AU5" s="25">
        <v>5029.5319004100047</v>
      </c>
      <c r="AV5" s="25">
        <v>5107.3420791900044</v>
      </c>
      <c r="AW5" s="25">
        <v>5120.0533247000039</v>
      </c>
      <c r="AX5" s="25">
        <v>5181.6469078700011</v>
      </c>
      <c r="AY5" s="25">
        <v>5309.7121516100015</v>
      </c>
      <c r="AZ5" s="25">
        <v>5352.9851320300004</v>
      </c>
      <c r="BA5" s="25">
        <v>5509.5144077999994</v>
      </c>
      <c r="BB5" s="25">
        <v>5748.3169802700004</v>
      </c>
      <c r="BC5" s="25">
        <v>5902.6092588499996</v>
      </c>
      <c r="BD5" s="25">
        <v>5982.5914332999982</v>
      </c>
      <c r="BE5" s="25">
        <v>6144.2874626100001</v>
      </c>
      <c r="BF5" s="25">
        <v>6174.2440716299989</v>
      </c>
      <c r="BG5" s="25">
        <v>6232.72572511</v>
      </c>
      <c r="BH5" s="25">
        <v>6320.3692158299982</v>
      </c>
      <c r="BI5" s="25">
        <v>6409.09099195</v>
      </c>
      <c r="BJ5" s="25">
        <v>6533.2792683399994</v>
      </c>
      <c r="BK5" s="25">
        <v>6455.8066952999998</v>
      </c>
      <c r="BL5" s="25">
        <v>6549.4154159499994</v>
      </c>
      <c r="BM5" s="25">
        <v>6529.7378050799998</v>
      </c>
      <c r="BN5" s="25">
        <v>6418.0302180499984</v>
      </c>
      <c r="BO5" s="25">
        <v>6438.1080073899975</v>
      </c>
      <c r="BP5" s="25">
        <v>6517.0984847199998</v>
      </c>
      <c r="BQ5" s="25">
        <v>6655.6602086000003</v>
      </c>
      <c r="BR5" s="25">
        <v>6843.5832341800015</v>
      </c>
      <c r="BS5" s="25">
        <v>7058.85394206</v>
      </c>
      <c r="BT5" s="25">
        <v>7237.1007808599988</v>
      </c>
      <c r="BU5" s="25">
        <v>7325.6855045799994</v>
      </c>
      <c r="BV5" s="27">
        <v>7597.4763076599993</v>
      </c>
    </row>
    <row r="7" spans="1:74" s="31" customFormat="1" x14ac:dyDescent="0.25">
      <c r="A7" s="28"/>
      <c r="B7" s="29" t="s">
        <v>88</v>
      </c>
      <c r="C7" s="29" t="s">
        <v>89</v>
      </c>
      <c r="D7" s="29" t="s">
        <v>90</v>
      </c>
      <c r="E7" s="29" t="s">
        <v>91</v>
      </c>
      <c r="F7" s="29" t="s">
        <v>92</v>
      </c>
      <c r="G7" s="29" t="s">
        <v>93</v>
      </c>
      <c r="H7" s="29" t="s">
        <v>94</v>
      </c>
      <c r="I7" s="29" t="s">
        <v>95</v>
      </c>
      <c r="J7" s="29" t="s">
        <v>96</v>
      </c>
      <c r="K7" s="29" t="s">
        <v>97</v>
      </c>
      <c r="L7" s="29" t="s">
        <v>98</v>
      </c>
      <c r="M7" s="29" t="s">
        <v>99</v>
      </c>
      <c r="N7" s="29" t="s">
        <v>100</v>
      </c>
      <c r="O7" s="29" t="s">
        <v>101</v>
      </c>
      <c r="P7" s="29" t="s">
        <v>102</v>
      </c>
      <c r="Q7" s="29" t="s">
        <v>103</v>
      </c>
      <c r="R7" s="29" t="s">
        <v>104</v>
      </c>
      <c r="S7" s="29" t="s">
        <v>105</v>
      </c>
      <c r="T7" s="30" t="s">
        <v>106</v>
      </c>
    </row>
    <row r="8" spans="1:74" ht="38.25" customHeight="1" x14ac:dyDescent="0.25">
      <c r="A8" s="32" t="s">
        <v>84</v>
      </c>
      <c r="B8" s="33">
        <f>SUM(P2:R2)</f>
        <v>146.19133099999999</v>
      </c>
      <c r="C8" s="33">
        <f>SUM(S2:U2)</f>
        <v>238.45450899999997</v>
      </c>
      <c r="D8" s="7">
        <f>SUM(V2:X2)</f>
        <v>268.97113000000002</v>
      </c>
      <c r="E8" s="7">
        <f>SUM(Y2:AA2)</f>
        <v>307.99636399999997</v>
      </c>
      <c r="F8" s="7">
        <f>SUM(AB2:AD2)</f>
        <v>316.96858299999997</v>
      </c>
      <c r="G8" s="7">
        <f>SUM(AE2:AG2)</f>
        <v>224.57094899999998</v>
      </c>
      <c r="H8" s="7">
        <f>SUM(AH2:AJ2)</f>
        <v>121.71879199999999</v>
      </c>
      <c r="I8" s="7">
        <f>SUM(AK2:AM2)</f>
        <v>296.41120100000001</v>
      </c>
      <c r="J8" s="7">
        <f>SUM(AN2:AP2)</f>
        <v>305.497929</v>
      </c>
      <c r="K8" s="7">
        <f>SUM(AQ2:AS2)</f>
        <v>266.431693</v>
      </c>
      <c r="L8" s="7">
        <f>SUM(AT2:AV2)</f>
        <v>202.027603</v>
      </c>
      <c r="M8" s="7">
        <f>SUM(AW2:AY2)</f>
        <v>309.00638400000003</v>
      </c>
      <c r="N8" s="7">
        <f>SUM(AZ2:BB2)</f>
        <v>328.711029</v>
      </c>
      <c r="O8" s="7">
        <f>SUM(BC2:BE2)</f>
        <v>265.53960700000005</v>
      </c>
      <c r="P8" s="7">
        <f>SUM(BF2:BH2)</f>
        <v>212.96427199999999</v>
      </c>
      <c r="Q8" s="7">
        <f>SUM(BI2:BK2)</f>
        <v>283.76682199999999</v>
      </c>
      <c r="R8" s="7">
        <f>SUM(BL2:BN2)</f>
        <v>306.50978500000002</v>
      </c>
      <c r="S8" s="7">
        <f>SUM(BO2:BQ2)</f>
        <v>271.29813999999999</v>
      </c>
      <c r="T8" s="8">
        <f>SUM(BR2:BT2)</f>
        <v>254.78439800000001</v>
      </c>
      <c r="U8" s="34">
        <f>SUM(B8:T8)</f>
        <v>4927.8205210000006</v>
      </c>
    </row>
    <row r="9" spans="1:74" x14ac:dyDescent="0.25">
      <c r="A9" s="32" t="s">
        <v>107</v>
      </c>
      <c r="B9" s="33">
        <f t="shared" ref="B9:B10" si="0">SUM(P3:R3)</f>
        <v>165.34621630000004</v>
      </c>
      <c r="C9" s="33">
        <f t="shared" ref="C9:C10" si="1">SUM(S3:U3)</f>
        <v>434.34218786999998</v>
      </c>
      <c r="D9" s="7">
        <f t="shared" ref="D9:D10" si="2">SUM(V3:X3)</f>
        <v>560.42426265999995</v>
      </c>
      <c r="E9" s="7">
        <f t="shared" ref="E9:E10" si="3">SUM(Y3:AA3)</f>
        <v>391.14151622999998</v>
      </c>
      <c r="F9" s="7">
        <f t="shared" ref="F9:F10" si="4">SUM(AB3:AD3)</f>
        <v>273.19023233999997</v>
      </c>
      <c r="G9" s="7">
        <f t="shared" ref="G9:G10" si="5">SUM(AE3:AG3)</f>
        <v>181.62217829000002</v>
      </c>
      <c r="H9" s="7">
        <f t="shared" ref="H9:H10" si="6">SUM(AH3:AJ3)</f>
        <v>120.24749637999999</v>
      </c>
      <c r="I9" s="7">
        <f t="shared" ref="I9:I10" si="7">SUM(AK3:AM3)</f>
        <v>314.30085597999999</v>
      </c>
      <c r="J9" s="7">
        <f t="shared" ref="J9:J10" si="8">SUM(AN3:AP3)</f>
        <v>309.50083943999999</v>
      </c>
      <c r="K9" s="7">
        <f t="shared" ref="K9:K10" si="9">SUM(AQ3:AS3)</f>
        <v>354.42898963000005</v>
      </c>
      <c r="L9" s="7">
        <f t="shared" ref="L9:L10" si="10">SUM(AT3:AV3)</f>
        <v>297.42722497</v>
      </c>
      <c r="M9" s="7">
        <f t="shared" ref="M9:M10" si="11">SUM(AW3:AY3)</f>
        <v>385.38598023999998</v>
      </c>
      <c r="N9" s="7">
        <f t="shared" ref="N9:N10" si="12">SUM(AZ3:BB3)</f>
        <v>514.67568955000002</v>
      </c>
      <c r="O9" s="7">
        <f t="shared" ref="O9:O10" si="13">SUM(BC3:BE3)</f>
        <v>514.48214379000001</v>
      </c>
      <c r="P9" s="7">
        <f t="shared" ref="P9:P10" si="14">SUM(BF3:BH3)</f>
        <v>387.77764509999997</v>
      </c>
      <c r="Q9" s="7">
        <f t="shared" ref="Q9:Q10" si="15">SUM(BI3:BK3)</f>
        <v>431.42940289999996</v>
      </c>
      <c r="R9" s="7">
        <f t="shared" ref="R9:R10" si="16">SUM(BL3:BN3)</f>
        <v>345.89351465000004</v>
      </c>
      <c r="S9" s="7">
        <f t="shared" ref="S9:S10" si="17">SUM(BO3:BQ3)</f>
        <v>452.53675251999994</v>
      </c>
      <c r="T9" s="8">
        <f t="shared" ref="T9:T10" si="18">SUM(BR3:BT3)</f>
        <v>482.44964213000003</v>
      </c>
      <c r="U9" s="34">
        <f t="shared" ref="U9:U10" si="19">SUM(B9:T9)</f>
        <v>6916.6027709700002</v>
      </c>
    </row>
    <row r="10" spans="1:74" x14ac:dyDescent="0.25">
      <c r="A10" s="35" t="s">
        <v>86</v>
      </c>
      <c r="B10" s="36">
        <f t="shared" si="0"/>
        <v>189.02401534000001</v>
      </c>
      <c r="C10" s="36">
        <f t="shared" si="1"/>
        <v>468.44133980999993</v>
      </c>
      <c r="D10" s="10">
        <f t="shared" si="2"/>
        <v>522.00769843000012</v>
      </c>
      <c r="E10" s="10">
        <f t="shared" si="3"/>
        <v>526.54843597000013</v>
      </c>
      <c r="F10" s="10">
        <f t="shared" si="4"/>
        <v>515.43663698</v>
      </c>
      <c r="G10" s="10">
        <f t="shared" si="5"/>
        <v>520.55882859999997</v>
      </c>
      <c r="H10" s="10">
        <f t="shared" si="6"/>
        <v>328.27471179000003</v>
      </c>
      <c r="I10" s="10">
        <f t="shared" si="7"/>
        <v>635.26632240000492</v>
      </c>
      <c r="J10" s="10">
        <f t="shared" si="8"/>
        <v>675.23525718999997</v>
      </c>
      <c r="K10" s="10">
        <f t="shared" si="9"/>
        <v>740.94564692000006</v>
      </c>
      <c r="L10" s="10">
        <f t="shared" si="10"/>
        <v>709.86851666000007</v>
      </c>
      <c r="M10" s="10">
        <f t="shared" si="11"/>
        <v>753.95608756000001</v>
      </c>
      <c r="N10" s="10">
        <f t="shared" si="12"/>
        <v>885.4521357399999</v>
      </c>
      <c r="O10" s="10">
        <f t="shared" si="13"/>
        <v>977.75506110000015</v>
      </c>
      <c r="P10" s="10">
        <f t="shared" si="14"/>
        <v>784.66318075000015</v>
      </c>
      <c r="Q10" s="10">
        <f t="shared" si="15"/>
        <v>868.58970636999993</v>
      </c>
      <c r="R10" s="10">
        <f t="shared" si="16"/>
        <v>1038.65907739</v>
      </c>
      <c r="S10" s="10">
        <f t="shared" si="17"/>
        <v>1271.5719099199998</v>
      </c>
      <c r="T10" s="11">
        <f t="shared" si="18"/>
        <v>1229.6116299800001</v>
      </c>
      <c r="U10" s="34">
        <f t="shared" si="19"/>
        <v>13641.866198900005</v>
      </c>
    </row>
    <row r="11" spans="1:74" x14ac:dyDescent="0.25">
      <c r="B11" s="37"/>
      <c r="C11" s="38"/>
    </row>
    <row r="12" spans="1:74" x14ac:dyDescent="0.25">
      <c r="B12" s="39"/>
      <c r="C12" s="38"/>
    </row>
    <row r="13" spans="1:74" x14ac:dyDescent="0.25">
      <c r="B13" s="39"/>
      <c r="C13" s="38"/>
      <c r="W13" s="40" t="s">
        <v>108</v>
      </c>
      <c r="X13" t="s">
        <v>109</v>
      </c>
    </row>
    <row r="14" spans="1:74" x14ac:dyDescent="0.25">
      <c r="B14" s="39"/>
      <c r="C14" s="38"/>
      <c r="W14" s="41" t="s">
        <v>110</v>
      </c>
      <c r="X14" t="s">
        <v>111</v>
      </c>
    </row>
    <row r="15" spans="1:74" x14ac:dyDescent="0.25">
      <c r="B15" s="42"/>
      <c r="C15" s="38"/>
      <c r="W15" s="41" t="s">
        <v>112</v>
      </c>
    </row>
    <row r="16" spans="1:74" x14ac:dyDescent="0.25">
      <c r="B16" s="42"/>
      <c r="C16" s="38"/>
    </row>
    <row r="17" spans="2:3" x14ac:dyDescent="0.25">
      <c r="B17" s="38"/>
      <c r="C17" s="38"/>
    </row>
    <row r="18" spans="2:3" x14ac:dyDescent="0.25">
      <c r="B18" s="38"/>
      <c r="C18" s="38"/>
    </row>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
  <sheetViews>
    <sheetView showGridLines="0" workbookViewId="0">
      <selection activeCell="S32" sqref="S32"/>
    </sheetView>
  </sheetViews>
  <sheetFormatPr defaultColWidth="8.85546875" defaultRowHeight="15" x14ac:dyDescent="0.25"/>
  <cols>
    <col min="1" max="1" width="13.28515625" customWidth="1"/>
  </cols>
  <sheetData>
    <row r="1" spans="1:23" x14ac:dyDescent="0.25">
      <c r="A1" s="255" t="s">
        <v>245</v>
      </c>
      <c r="B1" s="256">
        <f>(3.56*1000)/100</f>
        <v>35.6</v>
      </c>
      <c r="C1" s="256">
        <v>20</v>
      </c>
      <c r="D1" s="256">
        <v>40</v>
      </c>
      <c r="E1" s="256">
        <v>80</v>
      </c>
      <c r="F1" s="256">
        <v>120</v>
      </c>
      <c r="G1" s="255"/>
      <c r="H1" s="255"/>
      <c r="I1" s="255"/>
      <c r="J1" s="255"/>
      <c r="K1" s="255"/>
      <c r="O1">
        <v>20</v>
      </c>
    </row>
    <row r="2" spans="1:23" x14ac:dyDescent="0.25">
      <c r="A2" s="255" t="s">
        <v>246</v>
      </c>
      <c r="B2" s="256">
        <f>(7.61*1000)/100</f>
        <v>76.099999999999994</v>
      </c>
      <c r="C2" s="256">
        <f>C3-C1</f>
        <v>92</v>
      </c>
      <c r="D2" s="256">
        <f t="shared" ref="D2:F2" si="0">D3-D1</f>
        <v>72</v>
      </c>
      <c r="E2" s="256">
        <f t="shared" si="0"/>
        <v>32</v>
      </c>
      <c r="F2" s="256">
        <f t="shared" si="0"/>
        <v>-8</v>
      </c>
      <c r="G2" s="255"/>
      <c r="H2" s="255"/>
      <c r="I2" s="255"/>
      <c r="J2" s="255"/>
      <c r="K2" s="255"/>
      <c r="O2">
        <v>40</v>
      </c>
    </row>
    <row r="3" spans="1:23" x14ac:dyDescent="0.25">
      <c r="A3" t="s">
        <v>247</v>
      </c>
      <c r="B3" s="256">
        <f>SUM(B1:B2)</f>
        <v>111.69999999999999</v>
      </c>
      <c r="C3" s="256">
        <v>112</v>
      </c>
      <c r="D3" s="256">
        <v>112</v>
      </c>
      <c r="E3" s="256">
        <v>112</v>
      </c>
      <c r="F3" s="256">
        <v>112</v>
      </c>
      <c r="O3">
        <v>80</v>
      </c>
      <c r="S3" s="28" t="s">
        <v>248</v>
      </c>
      <c r="T3" s="257"/>
      <c r="U3" s="257"/>
      <c r="V3" s="257"/>
      <c r="W3" s="258"/>
    </row>
    <row r="4" spans="1:23" x14ac:dyDescent="0.25">
      <c r="O4">
        <v>120</v>
      </c>
      <c r="S4" s="6"/>
      <c r="T4" s="38"/>
      <c r="U4" s="38"/>
      <c r="V4" s="38"/>
      <c r="W4" s="259"/>
    </row>
    <row r="5" spans="1:23" ht="31.5" customHeight="1" x14ac:dyDescent="0.25">
      <c r="B5" s="260">
        <f>B1/B2</f>
        <v>0.46780551905387652</v>
      </c>
      <c r="S5" s="501" t="s">
        <v>249</v>
      </c>
      <c r="T5" s="502"/>
      <c r="U5" s="502"/>
      <c r="V5" s="502"/>
      <c r="W5" s="503"/>
    </row>
    <row r="6" spans="1:23" x14ac:dyDescent="0.25">
      <c r="S6" s="6"/>
      <c r="T6" s="38"/>
      <c r="U6" s="38"/>
      <c r="V6" s="38"/>
      <c r="W6" s="259"/>
    </row>
    <row r="7" spans="1:23" ht="15.75" thickBot="1" x14ac:dyDescent="0.3">
      <c r="S7" s="6"/>
      <c r="T7" s="38"/>
      <c r="U7" s="38"/>
      <c r="V7" s="38"/>
      <c r="W7" s="259"/>
    </row>
    <row r="8" spans="1:23" ht="15.75" thickBot="1" x14ac:dyDescent="0.3">
      <c r="S8" s="261" t="s">
        <v>245</v>
      </c>
      <c r="T8" s="262">
        <v>40</v>
      </c>
      <c r="U8" s="38"/>
      <c r="V8" s="38"/>
      <c r="W8" s="259"/>
    </row>
    <row r="9" spans="1:23" ht="15.75" thickBot="1" x14ac:dyDescent="0.3">
      <c r="S9" s="261" t="s">
        <v>246</v>
      </c>
      <c r="T9" s="263" t="str">
        <f>IF(T8=20,"92",IF(T8=40,"72",IF(T8=80,"32","-8")))</f>
        <v>72</v>
      </c>
      <c r="U9" s="38"/>
      <c r="V9" s="38"/>
      <c r="W9" s="259"/>
    </row>
    <row r="10" spans="1:23" x14ac:dyDescent="0.25">
      <c r="S10" s="6"/>
      <c r="T10" s="38"/>
      <c r="U10" s="38"/>
      <c r="V10" s="38"/>
      <c r="W10" s="259"/>
    </row>
    <row r="11" spans="1:23" x14ac:dyDescent="0.25">
      <c r="S11" s="261" t="s">
        <v>250</v>
      </c>
      <c r="T11" s="38"/>
      <c r="U11" s="38"/>
      <c r="V11" s="38"/>
      <c r="W11" s="259"/>
    </row>
    <row r="12" spans="1:23" ht="31.5" customHeight="1" x14ac:dyDescent="0.25">
      <c r="S12" s="504" t="s">
        <v>251</v>
      </c>
      <c r="T12" s="505"/>
      <c r="U12" s="505"/>
      <c r="V12" s="505"/>
      <c r="W12" s="506"/>
    </row>
  </sheetData>
  <mergeCells count="2">
    <mergeCell ref="S5:W5"/>
    <mergeCell ref="S12:W12"/>
  </mergeCells>
  <dataValidations count="1">
    <dataValidation type="list" allowBlank="1" showInputMessage="1" showErrorMessage="1" sqref="T8">
      <formula1>$O$1:$O$4</formula1>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V94"/>
  <sheetViews>
    <sheetView showGridLines="0" workbookViewId="0">
      <selection activeCell="M59" sqref="M59"/>
    </sheetView>
  </sheetViews>
  <sheetFormatPr defaultColWidth="9.140625" defaultRowHeight="12.75" x14ac:dyDescent="0.2"/>
  <cols>
    <col min="1" max="1" width="55.42578125" style="19" customWidth="1"/>
    <col min="2" max="5" width="10.140625" style="19" bestFit="1" customWidth="1"/>
    <col min="6" max="6" width="9.42578125" style="19" bestFit="1" customWidth="1"/>
    <col min="7" max="10" width="8.7109375" style="19" customWidth="1"/>
    <col min="11" max="11" width="4.42578125" style="19" customWidth="1"/>
    <col min="12" max="12" width="15.7109375" style="19" customWidth="1"/>
    <col min="13" max="13" width="12.28515625" style="19" customWidth="1"/>
    <col min="14" max="16" width="8.7109375" style="19" customWidth="1"/>
    <col min="17" max="17" width="9.85546875" style="19" customWidth="1"/>
    <col min="18" max="18" width="10.42578125" style="19" customWidth="1"/>
    <col min="19" max="22" width="9.85546875" style="19" customWidth="1"/>
    <col min="23" max="24" width="10.42578125" style="19" customWidth="1"/>
    <col min="25" max="25" width="11.28515625" style="19" customWidth="1"/>
    <col min="26" max="26" width="10.28515625" style="19" customWidth="1"/>
    <col min="27" max="27" width="10.140625" style="19" customWidth="1"/>
    <col min="28" max="28" width="10" style="19" customWidth="1"/>
    <col min="29" max="29" width="10.42578125" style="19" customWidth="1"/>
    <col min="30" max="30" width="8.7109375" style="19" customWidth="1"/>
    <col min="31" max="31" width="9.42578125" style="19" customWidth="1"/>
    <col min="32" max="32" width="8.7109375" style="19" customWidth="1"/>
    <col min="33" max="33" width="10" style="19" customWidth="1"/>
    <col min="34" max="38" width="10.42578125" style="19" customWidth="1"/>
    <col min="39" max="39" width="9.85546875" style="19" customWidth="1"/>
    <col min="40" max="44" width="10.42578125" style="19" customWidth="1"/>
    <col min="45" max="45" width="11.85546875" style="19" customWidth="1"/>
    <col min="46" max="46" width="10.42578125" style="19" customWidth="1"/>
    <col min="47" max="47" width="15.140625" style="19" customWidth="1"/>
    <col min="48" max="48" width="12.42578125" style="19" customWidth="1"/>
    <col min="49" max="52" width="10.42578125" style="19" customWidth="1"/>
    <col min="53" max="53" width="3.7109375" style="19" customWidth="1"/>
    <col min="54" max="62" width="11.42578125" style="19" customWidth="1"/>
    <col min="63" max="75" width="10" style="19" customWidth="1"/>
    <col min="76" max="76" width="14.140625" style="19" customWidth="1"/>
    <col min="77" max="77" width="11.140625" style="19" customWidth="1"/>
    <col min="78" max="78" width="9.28515625" style="19" customWidth="1"/>
    <col min="79" max="79" width="9.140625" style="19" customWidth="1"/>
    <col min="80" max="80" width="8.7109375" style="19" customWidth="1"/>
    <col min="81" max="86" width="9.140625" style="19" customWidth="1"/>
    <col min="87" max="87" width="11" style="19" customWidth="1"/>
    <col min="88" max="88" width="12" style="19" customWidth="1"/>
    <col min="89" max="89" width="13.140625" style="19" customWidth="1"/>
    <col min="90" max="90" width="9.42578125" style="19" customWidth="1"/>
    <col min="91" max="91" width="10.42578125" style="19" customWidth="1"/>
    <col min="92" max="92" width="9.140625" style="19" customWidth="1"/>
    <col min="93" max="93" width="12.140625" style="19" customWidth="1"/>
    <col min="94" max="94" width="10.140625" style="19" customWidth="1"/>
    <col min="95" max="95" width="12.140625" style="19" customWidth="1"/>
    <col min="96" max="97" width="11.42578125" style="52" customWidth="1"/>
    <col min="98" max="100" width="14.28515625" style="53" customWidth="1"/>
    <col min="101" max="101" width="16" style="53" customWidth="1"/>
    <col min="102" max="102" width="15.28515625" style="19" customWidth="1"/>
    <col min="103" max="103" width="15.42578125" style="19" customWidth="1"/>
    <col min="104" max="104" width="15" style="54" customWidth="1"/>
    <col min="105" max="105" width="19.7109375" style="19" customWidth="1"/>
    <col min="106" max="106" width="16.7109375" style="19" customWidth="1"/>
    <col min="107" max="107" width="16.85546875" style="19" customWidth="1"/>
    <col min="108" max="108" width="18.28515625" style="19" customWidth="1"/>
    <col min="109" max="109" width="17.28515625" style="19" customWidth="1"/>
    <col min="110" max="110" width="18.28515625" style="19" customWidth="1"/>
    <col min="111" max="111" width="17.85546875" style="19" customWidth="1"/>
    <col min="112" max="112" width="16" style="19" customWidth="1"/>
    <col min="113" max="113" width="17.85546875" style="19" customWidth="1"/>
    <col min="114" max="115" width="18.28515625" style="19" customWidth="1"/>
    <col min="116" max="116" width="14.140625" style="19" customWidth="1"/>
    <col min="117" max="117" width="14.42578125" style="19" customWidth="1"/>
    <col min="118" max="118" width="16.85546875" style="19" customWidth="1"/>
    <col min="119" max="119" width="15.28515625" style="19" customWidth="1"/>
    <col min="120" max="120" width="16.42578125" style="19" customWidth="1"/>
    <col min="121" max="121" width="4.7109375" style="19" customWidth="1"/>
    <col min="122" max="122" width="16.42578125" style="19" customWidth="1"/>
    <col min="123" max="123" width="19" style="19" customWidth="1"/>
    <col min="124" max="124" width="14.42578125" style="19" customWidth="1"/>
    <col min="125" max="125" width="14.7109375" style="19" customWidth="1"/>
    <col min="126" max="126" width="15.28515625" style="19" customWidth="1"/>
    <col min="127" max="127" width="13.42578125" style="19" customWidth="1"/>
    <col min="128" max="128" width="13.140625" style="55" customWidth="1"/>
    <col min="129" max="129" width="14.42578125" style="56" customWidth="1"/>
    <col min="130" max="130" width="16.140625" style="56" customWidth="1"/>
    <col min="131" max="131" width="16" style="19" customWidth="1"/>
    <col min="132" max="132" width="19.140625" style="19" customWidth="1"/>
    <col min="133" max="133" width="18" style="54" customWidth="1"/>
    <col min="134" max="134" width="13.140625" style="19" customWidth="1"/>
    <col min="135" max="135" width="16.140625" style="19" customWidth="1"/>
    <col min="136" max="136" width="13.85546875" style="19" customWidth="1"/>
    <col min="137" max="137" width="0.85546875" style="19" customWidth="1"/>
    <col min="138" max="138" width="14.42578125" style="19" bestFit="1" customWidth="1"/>
    <col min="139" max="139" width="13.85546875" style="19" bestFit="1" customWidth="1"/>
    <col min="140" max="140" width="14.7109375" style="19" customWidth="1"/>
    <col min="141" max="141" width="14" style="19" bestFit="1" customWidth="1"/>
    <col min="142" max="142" width="13.42578125" style="19" bestFit="1" customWidth="1"/>
    <col min="143" max="145" width="15.140625" style="19" bestFit="1" customWidth="1"/>
    <col min="146" max="146" width="14.28515625" style="19" customWidth="1"/>
    <col min="147" max="147" width="13.85546875" style="19" bestFit="1" customWidth="1"/>
    <col min="148" max="148" width="14.140625" style="19" customWidth="1"/>
    <col min="149" max="149" width="13.140625" style="19" bestFit="1" customWidth="1"/>
    <col min="150" max="150" width="13.42578125" style="19" bestFit="1" customWidth="1"/>
    <col min="151" max="151" width="13.140625" style="19" bestFit="1" customWidth="1"/>
    <col min="152" max="152" width="13.42578125" style="19" bestFit="1" customWidth="1"/>
    <col min="153" max="16384" width="9.140625" style="19"/>
  </cols>
  <sheetData>
    <row r="1" spans="1:152" x14ac:dyDescent="0.2">
      <c r="A1" s="290" t="s">
        <v>113</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71"/>
      <c r="BZ1" s="271"/>
      <c r="CA1" s="271"/>
      <c r="CB1" s="271"/>
      <c r="CC1" s="271"/>
      <c r="CD1" s="271"/>
      <c r="CE1" s="271"/>
      <c r="CF1" s="271"/>
      <c r="CG1" s="271"/>
      <c r="CH1" s="271"/>
      <c r="CI1" s="271"/>
      <c r="CJ1" s="271"/>
      <c r="CK1" s="271"/>
      <c r="CL1" s="271"/>
      <c r="CM1" s="271"/>
      <c r="CN1" s="271"/>
      <c r="CO1" s="271"/>
      <c r="CP1" s="271"/>
      <c r="CQ1" s="271"/>
      <c r="CR1" s="271"/>
      <c r="CS1" s="271"/>
      <c r="CT1" s="271"/>
      <c r="CU1" s="271"/>
      <c r="CV1" s="271"/>
      <c r="CW1" s="271"/>
      <c r="CX1" s="271"/>
      <c r="CY1" s="271"/>
      <c r="CZ1" s="271"/>
      <c r="DA1" s="271"/>
      <c r="DB1" s="271"/>
      <c r="DC1" s="271"/>
      <c r="DD1" s="271"/>
      <c r="DE1" s="271"/>
      <c r="DF1" s="271"/>
      <c r="DG1" s="271"/>
      <c r="DH1" s="271"/>
      <c r="DI1" s="271"/>
      <c r="DJ1" s="271"/>
      <c r="DK1" s="271"/>
      <c r="DL1" s="271"/>
      <c r="DM1" s="271"/>
      <c r="DN1" s="271"/>
      <c r="DO1" s="271"/>
      <c r="DP1" s="271"/>
      <c r="DQ1" s="271"/>
      <c r="DR1" s="271"/>
      <c r="DS1" s="271"/>
      <c r="DT1" s="271"/>
      <c r="DU1" s="271"/>
      <c r="DV1" s="271"/>
      <c r="DW1" s="271"/>
      <c r="DX1" s="271"/>
      <c r="DY1" s="271"/>
      <c r="DZ1" s="271"/>
      <c r="EA1" s="271"/>
      <c r="EB1" s="271"/>
      <c r="EC1" s="271"/>
      <c r="ED1" s="271"/>
      <c r="EE1" s="271"/>
      <c r="EF1" s="271"/>
      <c r="EG1" s="271"/>
      <c r="EH1" s="271"/>
      <c r="EI1" s="271"/>
      <c r="EJ1" s="271"/>
      <c r="EK1" s="271"/>
      <c r="EL1" s="271"/>
      <c r="EM1" s="271"/>
      <c r="EN1" s="271"/>
      <c r="EO1" s="271"/>
      <c r="EP1" s="271"/>
      <c r="EQ1" s="271"/>
      <c r="ER1" s="271"/>
      <c r="ES1" s="271"/>
      <c r="ET1" s="271"/>
      <c r="EU1" s="271"/>
      <c r="EV1" s="271"/>
    </row>
    <row r="2" spans="1:152" ht="13.5" customHeight="1" thickBot="1" x14ac:dyDescent="0.25">
      <c r="A2" s="291"/>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291"/>
      <c r="BP2" s="291"/>
      <c r="BQ2" s="291"/>
      <c r="BR2" s="291"/>
      <c r="BS2" s="291"/>
      <c r="BT2" s="291"/>
      <c r="BU2" s="291"/>
      <c r="BV2" s="291"/>
      <c r="BW2" s="291"/>
      <c r="BX2" s="438" t="s">
        <v>114</v>
      </c>
      <c r="BY2" s="424"/>
      <c r="BZ2" s="424"/>
      <c r="CA2" s="424"/>
      <c r="CB2" s="424"/>
      <c r="CC2" s="424"/>
      <c r="CD2" s="424"/>
      <c r="CE2" s="424"/>
      <c r="CF2" s="424"/>
      <c r="CG2" s="424"/>
      <c r="CH2" s="424">
        <v>1</v>
      </c>
      <c r="CI2" s="424">
        <v>2</v>
      </c>
      <c r="CJ2" s="424">
        <v>3</v>
      </c>
      <c r="CK2" s="424">
        <v>4</v>
      </c>
      <c r="CL2" s="431">
        <v>5</v>
      </c>
      <c r="CM2" s="431">
        <v>6</v>
      </c>
      <c r="CN2" s="424">
        <v>7</v>
      </c>
      <c r="CO2" s="424">
        <v>8</v>
      </c>
      <c r="CP2" s="424">
        <v>9</v>
      </c>
      <c r="CQ2" s="424">
        <v>10</v>
      </c>
      <c r="CR2" s="432">
        <v>11</v>
      </c>
      <c r="CS2" s="433"/>
      <c r="CT2" s="434"/>
      <c r="CU2" s="434"/>
      <c r="CV2" s="434"/>
      <c r="CW2" s="434"/>
      <c r="CX2" s="424"/>
      <c r="CY2" s="424"/>
      <c r="CZ2" s="435"/>
      <c r="DA2" s="424"/>
      <c r="DB2" s="424"/>
      <c r="DC2" s="424"/>
      <c r="DD2" s="424"/>
      <c r="DE2" s="424"/>
      <c r="DF2" s="424"/>
      <c r="DG2" s="424"/>
      <c r="DH2" s="424"/>
      <c r="DI2" s="424"/>
      <c r="DJ2" s="424"/>
      <c r="DK2" s="424"/>
      <c r="DL2" s="424"/>
      <c r="DM2" s="424"/>
      <c r="DN2" s="424"/>
      <c r="DO2" s="424"/>
      <c r="DP2" s="424"/>
      <c r="DQ2" s="424"/>
      <c r="DR2" s="424"/>
      <c r="DS2" s="424"/>
      <c r="DT2" s="424"/>
      <c r="DU2" s="424"/>
      <c r="DV2" s="424"/>
      <c r="DW2" s="424"/>
      <c r="DX2" s="436"/>
      <c r="DY2" s="437"/>
      <c r="DZ2" s="437"/>
      <c r="EA2" s="424"/>
      <c r="EB2" s="424"/>
      <c r="EC2" s="435"/>
      <c r="ED2" s="424"/>
      <c r="EE2" s="424"/>
      <c r="EF2" s="424"/>
      <c r="EG2" s="424"/>
      <c r="EH2" s="424"/>
      <c r="EI2" s="271"/>
      <c r="EJ2" s="271"/>
      <c r="EK2" s="271"/>
      <c r="EL2" s="271"/>
      <c r="EM2" s="271"/>
      <c r="EN2" s="271"/>
      <c r="EO2" s="271"/>
      <c r="EP2" s="271"/>
      <c r="EQ2" s="271"/>
      <c r="ER2" s="271"/>
      <c r="ES2" s="271"/>
      <c r="ET2" s="271"/>
      <c r="EU2" s="271"/>
      <c r="EV2" s="271"/>
    </row>
    <row r="3" spans="1:152" s="71" customFormat="1" ht="13.5" customHeight="1" x14ac:dyDescent="0.2">
      <c r="A3" s="292"/>
      <c r="B3" s="293" t="s">
        <v>115</v>
      </c>
      <c r="C3" s="293" t="s">
        <v>116</v>
      </c>
      <c r="D3" s="293" t="s">
        <v>117</v>
      </c>
      <c r="E3" s="293" t="s">
        <v>118</v>
      </c>
      <c r="F3" s="293" t="s">
        <v>119</v>
      </c>
      <c r="G3" s="293" t="s">
        <v>120</v>
      </c>
      <c r="H3" s="293" t="s">
        <v>121</v>
      </c>
      <c r="I3" s="293" t="s">
        <v>122</v>
      </c>
      <c r="J3" s="293" t="s">
        <v>123</v>
      </c>
      <c r="K3" s="293" t="s">
        <v>124</v>
      </c>
      <c r="L3" s="293" t="s">
        <v>125</v>
      </c>
      <c r="M3" s="293">
        <v>39722</v>
      </c>
      <c r="N3" s="293">
        <v>39753</v>
      </c>
      <c r="O3" s="293">
        <v>39783</v>
      </c>
      <c r="P3" s="293">
        <v>39814</v>
      </c>
      <c r="Q3" s="294" t="s">
        <v>26</v>
      </c>
      <c r="R3" s="294" t="s">
        <v>27</v>
      </c>
      <c r="S3" s="294" t="s">
        <v>28</v>
      </c>
      <c r="T3" s="294" t="s">
        <v>29</v>
      </c>
      <c r="U3" s="294" t="s">
        <v>30</v>
      </c>
      <c r="V3" s="295" t="s">
        <v>31</v>
      </c>
      <c r="W3" s="294" t="s">
        <v>32</v>
      </c>
      <c r="X3" s="294" t="s">
        <v>33</v>
      </c>
      <c r="Y3" s="294" t="s">
        <v>34</v>
      </c>
      <c r="Z3" s="294" t="s">
        <v>35</v>
      </c>
      <c r="AA3" s="294" t="s">
        <v>36</v>
      </c>
      <c r="AB3" s="294" t="s">
        <v>37</v>
      </c>
      <c r="AC3" s="294" t="s">
        <v>38</v>
      </c>
      <c r="AD3" s="294" t="s">
        <v>39</v>
      </c>
      <c r="AE3" s="294" t="s">
        <v>40</v>
      </c>
      <c r="AF3" s="294" t="s">
        <v>41</v>
      </c>
      <c r="AG3" s="296" t="s">
        <v>42</v>
      </c>
      <c r="AH3" s="296" t="s">
        <v>43</v>
      </c>
      <c r="AI3" s="296" t="s">
        <v>44</v>
      </c>
      <c r="AJ3" s="296" t="s">
        <v>45</v>
      </c>
      <c r="AK3" s="296" t="s">
        <v>46</v>
      </c>
      <c r="AL3" s="296" t="s">
        <v>47</v>
      </c>
      <c r="AM3" s="296" t="s">
        <v>48</v>
      </c>
      <c r="AN3" s="296" t="s">
        <v>49</v>
      </c>
      <c r="AO3" s="296" t="s">
        <v>50</v>
      </c>
      <c r="AP3" s="296" t="s">
        <v>51</v>
      </c>
      <c r="AQ3" s="296" t="s">
        <v>52</v>
      </c>
      <c r="AR3" s="296" t="s">
        <v>53</v>
      </c>
      <c r="AS3" s="296" t="s">
        <v>54</v>
      </c>
      <c r="AT3" s="296" t="s">
        <v>55</v>
      </c>
      <c r="AU3" s="296" t="s">
        <v>56</v>
      </c>
      <c r="AV3" s="296" t="s">
        <v>57</v>
      </c>
      <c r="AW3" s="296" t="s">
        <v>58</v>
      </c>
      <c r="AX3" s="296" t="s">
        <v>59</v>
      </c>
      <c r="AY3" s="296" t="s">
        <v>60</v>
      </c>
      <c r="AZ3" s="296" t="s">
        <v>61</v>
      </c>
      <c r="BA3" s="296" t="s">
        <v>62</v>
      </c>
      <c r="BB3" s="296" t="s">
        <v>63</v>
      </c>
      <c r="BC3" s="296" t="s">
        <v>64</v>
      </c>
      <c r="BD3" s="296" t="s">
        <v>65</v>
      </c>
      <c r="BE3" s="296" t="s">
        <v>66</v>
      </c>
      <c r="BF3" s="296" t="s">
        <v>67</v>
      </c>
      <c r="BG3" s="296" t="s">
        <v>68</v>
      </c>
      <c r="BH3" s="296" t="s">
        <v>69</v>
      </c>
      <c r="BI3" s="296" t="s">
        <v>70</v>
      </c>
      <c r="BJ3" s="296" t="s">
        <v>71</v>
      </c>
      <c r="BK3" s="296" t="s">
        <v>72</v>
      </c>
      <c r="BL3" s="296" t="s">
        <v>73</v>
      </c>
      <c r="BM3" s="426" t="s">
        <v>74</v>
      </c>
      <c r="BN3" s="426" t="s">
        <v>75</v>
      </c>
      <c r="BO3" s="426" t="s">
        <v>76</v>
      </c>
      <c r="BP3" s="426" t="s">
        <v>77</v>
      </c>
      <c r="BQ3" s="426" t="s">
        <v>78</v>
      </c>
      <c r="BR3" s="426" t="s">
        <v>79</v>
      </c>
      <c r="BS3" s="426" t="s">
        <v>80</v>
      </c>
      <c r="BT3" s="426" t="s">
        <v>81</v>
      </c>
      <c r="BU3" s="426" t="s">
        <v>82</v>
      </c>
      <c r="BV3" s="426" t="s">
        <v>83</v>
      </c>
      <c r="BW3" s="426" t="s">
        <v>253</v>
      </c>
      <c r="BX3" s="296" t="s">
        <v>126</v>
      </c>
      <c r="BY3" s="328" t="s">
        <v>127</v>
      </c>
      <c r="BZ3" s="328" t="s">
        <v>128</v>
      </c>
      <c r="CA3" s="328" t="s">
        <v>129</v>
      </c>
      <c r="CB3" s="328" t="s">
        <v>130</v>
      </c>
      <c r="CC3" s="328" t="s">
        <v>131</v>
      </c>
      <c r="CD3" s="328" t="s">
        <v>132</v>
      </c>
      <c r="CE3" s="328" t="s">
        <v>133</v>
      </c>
      <c r="CF3" s="328" t="s">
        <v>134</v>
      </c>
      <c r="CG3" s="328" t="s">
        <v>135</v>
      </c>
      <c r="CH3" s="328" t="s">
        <v>136</v>
      </c>
      <c r="CI3" s="328" t="s">
        <v>137</v>
      </c>
      <c r="CJ3" s="328" t="s">
        <v>138</v>
      </c>
      <c r="CK3" s="329" t="s">
        <v>139</v>
      </c>
      <c r="CL3" s="330" t="s">
        <v>140</v>
      </c>
      <c r="CM3" s="331" t="s">
        <v>141</v>
      </c>
      <c r="CN3" s="331" t="s">
        <v>142</v>
      </c>
      <c r="CO3" s="331" t="s">
        <v>143</v>
      </c>
      <c r="CP3" s="331" t="s">
        <v>144</v>
      </c>
      <c r="CQ3" s="331" t="s">
        <v>145</v>
      </c>
      <c r="CR3" s="332" t="s">
        <v>146</v>
      </c>
      <c r="CS3" s="333" t="s">
        <v>147</v>
      </c>
      <c r="CT3" s="334" t="s">
        <v>148</v>
      </c>
      <c r="CU3" s="334" t="s">
        <v>149</v>
      </c>
      <c r="CV3" s="334" t="s">
        <v>150</v>
      </c>
      <c r="CW3" s="334" t="s">
        <v>151</v>
      </c>
      <c r="CX3" s="331" t="s">
        <v>152</v>
      </c>
      <c r="CY3" s="331" t="s">
        <v>153</v>
      </c>
      <c r="CZ3" s="331" t="s">
        <v>154</v>
      </c>
      <c r="DA3" s="331" t="s">
        <v>155</v>
      </c>
      <c r="DB3" s="331" t="s">
        <v>156</v>
      </c>
      <c r="DC3" s="331" t="s">
        <v>157</v>
      </c>
      <c r="DD3" s="331" t="s">
        <v>158</v>
      </c>
      <c r="DE3" s="331" t="s">
        <v>159</v>
      </c>
      <c r="DF3" s="331" t="s">
        <v>160</v>
      </c>
      <c r="DG3" s="331" t="s">
        <v>161</v>
      </c>
      <c r="DH3" s="331" t="s">
        <v>162</v>
      </c>
      <c r="DI3" s="335" t="s">
        <v>163</v>
      </c>
      <c r="DJ3" s="331" t="s">
        <v>164</v>
      </c>
      <c r="DK3" s="331" t="s">
        <v>165</v>
      </c>
      <c r="DL3" s="336" t="s">
        <v>166</v>
      </c>
      <c r="DM3" s="331" t="s">
        <v>167</v>
      </c>
      <c r="DN3" s="331" t="s">
        <v>168</v>
      </c>
      <c r="DO3" s="331" t="s">
        <v>169</v>
      </c>
      <c r="DP3" s="331" t="s">
        <v>170</v>
      </c>
      <c r="DQ3" s="331" t="s">
        <v>171</v>
      </c>
      <c r="DR3" s="331" t="s">
        <v>172</v>
      </c>
      <c r="DS3" s="331" t="s">
        <v>173</v>
      </c>
      <c r="DT3" s="331" t="s">
        <v>174</v>
      </c>
      <c r="DU3" s="331" t="s">
        <v>175</v>
      </c>
      <c r="DV3" s="331" t="s">
        <v>176</v>
      </c>
      <c r="DW3" s="331" t="s">
        <v>177</v>
      </c>
      <c r="DX3" s="378" t="s">
        <v>178</v>
      </c>
      <c r="DY3" s="383" t="s">
        <v>179</v>
      </c>
      <c r="DZ3" s="383" t="s">
        <v>180</v>
      </c>
      <c r="EA3" s="331" t="s">
        <v>181</v>
      </c>
      <c r="EB3" s="331" t="s">
        <v>182</v>
      </c>
      <c r="EC3" s="406" t="s">
        <v>183</v>
      </c>
      <c r="ED3" s="406" t="s">
        <v>184</v>
      </c>
      <c r="EE3" s="406" t="s">
        <v>185</v>
      </c>
      <c r="EF3" s="331" t="s">
        <v>186</v>
      </c>
      <c r="EG3" s="331" t="s">
        <v>187</v>
      </c>
      <c r="EH3" s="331" t="s">
        <v>188</v>
      </c>
      <c r="EI3" s="331" t="s">
        <v>189</v>
      </c>
      <c r="EJ3" s="331" t="s">
        <v>190</v>
      </c>
      <c r="EK3" s="331" t="s">
        <v>191</v>
      </c>
      <c r="EL3" s="331" t="s">
        <v>192</v>
      </c>
      <c r="EM3" s="331" t="s">
        <v>193</v>
      </c>
      <c r="EN3" s="331" t="s">
        <v>194</v>
      </c>
      <c r="EO3" s="331" t="s">
        <v>195</v>
      </c>
      <c r="EP3" s="331" t="s">
        <v>196</v>
      </c>
      <c r="EQ3" s="331" t="s">
        <v>197</v>
      </c>
      <c r="ER3" s="331" t="s">
        <v>198</v>
      </c>
      <c r="ES3" s="331" t="s">
        <v>199</v>
      </c>
      <c r="ET3" s="331" t="s">
        <v>200</v>
      </c>
      <c r="EU3" s="331" t="s">
        <v>201</v>
      </c>
      <c r="EV3" s="331" t="s">
        <v>254</v>
      </c>
    </row>
    <row r="4" spans="1:152" x14ac:dyDescent="0.2">
      <c r="A4" s="297" t="s">
        <v>202</v>
      </c>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9"/>
      <c r="AH4" s="299"/>
      <c r="AI4" s="299"/>
      <c r="AJ4" s="299"/>
      <c r="AK4" s="299"/>
      <c r="AL4" s="299"/>
      <c r="AM4" s="299"/>
      <c r="AN4" s="299"/>
      <c r="AO4" s="299"/>
      <c r="AP4" s="299"/>
      <c r="AQ4" s="299"/>
      <c r="AR4" s="299"/>
      <c r="AS4" s="299"/>
      <c r="AT4" s="299"/>
      <c r="AU4" s="299"/>
      <c r="AV4" s="299"/>
      <c r="AW4" s="299"/>
      <c r="AX4" s="299"/>
      <c r="AY4" s="299"/>
      <c r="AZ4" s="299"/>
      <c r="BA4" s="299"/>
      <c r="BB4" s="299"/>
      <c r="BC4" s="299"/>
      <c r="BD4" s="299"/>
      <c r="BE4" s="299"/>
      <c r="BF4" s="299"/>
      <c r="BG4" s="299"/>
      <c r="BH4" s="299"/>
      <c r="BI4" s="299"/>
      <c r="BJ4" s="299"/>
      <c r="BK4" s="299"/>
      <c r="BL4" s="299"/>
      <c r="BM4" s="304"/>
      <c r="BN4" s="304"/>
      <c r="BO4" s="304"/>
      <c r="BP4" s="304"/>
      <c r="BQ4" s="304"/>
      <c r="BR4" s="304"/>
      <c r="BS4" s="304"/>
      <c r="BT4" s="304"/>
      <c r="BU4" s="304"/>
      <c r="BV4" s="304"/>
      <c r="BW4" s="304"/>
      <c r="BX4" s="299"/>
      <c r="BY4" s="271"/>
      <c r="BZ4" s="271"/>
      <c r="CA4" s="271"/>
      <c r="CB4" s="271"/>
      <c r="CC4" s="271"/>
      <c r="CD4" s="271"/>
      <c r="CE4" s="271"/>
      <c r="CF4" s="271"/>
      <c r="CG4" s="271"/>
      <c r="CH4" s="271"/>
      <c r="CI4" s="271"/>
      <c r="CJ4" s="271"/>
      <c r="CK4" s="271"/>
      <c r="CL4" s="271"/>
      <c r="CM4" s="271"/>
      <c r="CN4" s="271"/>
      <c r="CO4" s="271"/>
      <c r="CP4" s="271"/>
      <c r="CQ4" s="271"/>
      <c r="CR4" s="271"/>
      <c r="CS4" s="271"/>
      <c r="CT4" s="271"/>
      <c r="CU4" s="271"/>
      <c r="CV4" s="271"/>
      <c r="CW4" s="271"/>
      <c r="CX4" s="271"/>
      <c r="CY4" s="271"/>
      <c r="CZ4" s="271"/>
      <c r="DA4" s="271"/>
      <c r="DB4" s="271"/>
      <c r="DC4" s="271"/>
      <c r="DD4" s="271"/>
      <c r="DE4" s="271"/>
      <c r="DF4" s="271"/>
      <c r="DG4" s="271"/>
      <c r="DH4" s="271"/>
      <c r="DI4" s="271"/>
      <c r="DJ4" s="271"/>
      <c r="DK4" s="271"/>
      <c r="DL4" s="271"/>
      <c r="DM4" s="271"/>
      <c r="DN4" s="271"/>
      <c r="DO4" s="271"/>
      <c r="DP4" s="271"/>
      <c r="DQ4" s="271"/>
      <c r="DR4" s="271"/>
      <c r="DS4" s="271"/>
      <c r="DT4" s="271"/>
      <c r="DU4" s="271"/>
      <c r="DV4" s="271"/>
      <c r="DW4" s="271"/>
      <c r="DX4" s="271"/>
      <c r="DY4" s="271"/>
      <c r="DZ4" s="271"/>
      <c r="EA4" s="271"/>
      <c r="EB4" s="271"/>
      <c r="EC4" s="271"/>
      <c r="ED4" s="271"/>
      <c r="EE4" s="271"/>
      <c r="EF4" s="271"/>
      <c r="EG4" s="271"/>
      <c r="EH4" s="271"/>
      <c r="EI4" s="271"/>
      <c r="EJ4" s="271"/>
      <c r="EK4" s="271"/>
      <c r="EL4" s="271"/>
      <c r="EM4" s="271"/>
      <c r="EN4" s="271"/>
      <c r="EO4" s="271"/>
      <c r="EP4" s="271"/>
      <c r="EQ4" s="271"/>
      <c r="ER4" s="271"/>
      <c r="ES4" s="271"/>
      <c r="ET4" s="271"/>
      <c r="EU4" s="271"/>
      <c r="EV4" s="271"/>
    </row>
    <row r="5" spans="1:152" s="90" customFormat="1" x14ac:dyDescent="0.2">
      <c r="A5" s="299" t="s">
        <v>203</v>
      </c>
      <c r="B5" s="299">
        <v>35711.048999999999</v>
      </c>
      <c r="C5" s="299">
        <v>45238.909</v>
      </c>
      <c r="D5" s="300">
        <v>41370.872000000003</v>
      </c>
      <c r="E5" s="300">
        <v>56903.161999999997</v>
      </c>
      <c r="F5" s="300">
        <v>46502.781999999999</v>
      </c>
      <c r="G5" s="300">
        <v>43078.055999999997</v>
      </c>
      <c r="H5" s="300">
        <v>44753.561000000002</v>
      </c>
      <c r="I5" s="300">
        <v>24778.928</v>
      </c>
      <c r="J5" s="300">
        <v>26095.876</v>
      </c>
      <c r="K5" s="300">
        <v>31100.302</v>
      </c>
      <c r="L5" s="301">
        <v>24954.839</v>
      </c>
      <c r="M5" s="301">
        <v>47099.677000000003</v>
      </c>
      <c r="N5" s="301">
        <v>42413.821000000004</v>
      </c>
      <c r="O5" s="301">
        <v>51556.5</v>
      </c>
      <c r="P5" s="301">
        <v>41916.086000000003</v>
      </c>
      <c r="Q5" s="302">
        <v>40314.703000000001</v>
      </c>
      <c r="R5" s="302">
        <v>63960.542000000001</v>
      </c>
      <c r="S5" s="302">
        <v>69854.910999999993</v>
      </c>
      <c r="T5" s="302">
        <v>76670.05</v>
      </c>
      <c r="U5" s="302">
        <v>91929.547999999995</v>
      </c>
      <c r="V5" s="302">
        <v>89806.2</v>
      </c>
      <c r="W5" s="302">
        <v>106741.976</v>
      </c>
      <c r="X5" s="302">
        <v>72422.953999999998</v>
      </c>
      <c r="Y5" s="302">
        <v>106636.785</v>
      </c>
      <c r="Z5" s="302">
        <v>106322.958</v>
      </c>
      <c r="AA5" s="302">
        <v>95036.620999999999</v>
      </c>
      <c r="AB5" s="302">
        <v>96837.13</v>
      </c>
      <c r="AC5" s="302">
        <v>108904.192</v>
      </c>
      <c r="AD5" s="302">
        <v>111227.261</v>
      </c>
      <c r="AE5" s="302">
        <v>97724.964000000007</v>
      </c>
      <c r="AF5" s="302">
        <v>77119.149999999994</v>
      </c>
      <c r="AG5" s="302">
        <v>49726.834999999999</v>
      </c>
      <c r="AH5" s="302">
        <v>47382.222999999998</v>
      </c>
      <c r="AI5" s="302">
        <v>30957.217000000001</v>
      </c>
      <c r="AJ5" s="302">
        <v>43379.351999999999</v>
      </c>
      <c r="AK5" s="302">
        <v>99178.739000000001</v>
      </c>
      <c r="AL5" s="302">
        <v>92419.792000000001</v>
      </c>
      <c r="AM5" s="302">
        <v>104812.67</v>
      </c>
      <c r="AN5" s="302">
        <v>110067.06200000001</v>
      </c>
      <c r="AO5" s="302">
        <v>94185.414999999994</v>
      </c>
      <c r="AP5" s="302">
        <v>101245.452</v>
      </c>
      <c r="AQ5" s="302">
        <v>82255.373000000007</v>
      </c>
      <c r="AR5" s="302">
        <v>82124.77</v>
      </c>
      <c r="AS5" s="302">
        <v>102051.55</v>
      </c>
      <c r="AT5" s="302">
        <v>86972.076000000001</v>
      </c>
      <c r="AU5" s="302">
        <v>64536.654000000002</v>
      </c>
      <c r="AV5" s="302">
        <v>50518.873</v>
      </c>
      <c r="AW5" s="302">
        <v>88878.167000000001</v>
      </c>
      <c r="AX5" s="302">
        <v>103584.039</v>
      </c>
      <c r="AY5" s="302">
        <v>116544.178</v>
      </c>
      <c r="AZ5" s="302">
        <v>105903.784</v>
      </c>
      <c r="BA5" s="302">
        <v>103434.21</v>
      </c>
      <c r="BB5" s="302">
        <v>119373.035</v>
      </c>
      <c r="BC5" s="302">
        <v>91249.637000000002</v>
      </c>
      <c r="BD5" s="302">
        <v>92280.792000000001</v>
      </c>
      <c r="BE5" s="302">
        <v>82009.178</v>
      </c>
      <c r="BF5" s="302">
        <v>61854.851000000002</v>
      </c>
      <c r="BG5" s="302">
        <v>73134.801000000007</v>
      </c>
      <c r="BH5" s="302">
        <v>77974.62</v>
      </c>
      <c r="BI5" s="302">
        <v>77995.706999999995</v>
      </c>
      <c r="BJ5" s="302">
        <v>108867.179</v>
      </c>
      <c r="BK5" s="302">
        <v>96903.936000000002</v>
      </c>
      <c r="BL5" s="302">
        <v>100636.352</v>
      </c>
      <c r="BM5" s="302">
        <v>93200.186000000002</v>
      </c>
      <c r="BN5" s="302">
        <v>112673.247</v>
      </c>
      <c r="BO5" s="302">
        <v>90109.57</v>
      </c>
      <c r="BP5" s="302">
        <v>90660.014999999999</v>
      </c>
      <c r="BQ5" s="302">
        <v>90528.554999999993</v>
      </c>
      <c r="BR5" s="302">
        <v>79431.210999999996</v>
      </c>
      <c r="BS5" s="302">
        <v>89223.016000000003</v>
      </c>
      <c r="BT5" s="302">
        <v>86130.171000000002</v>
      </c>
      <c r="BU5" s="302">
        <v>99127.793000000005</v>
      </c>
      <c r="BV5" s="302">
        <v>112043.239</v>
      </c>
      <c r="BW5" s="302">
        <v>88851.93</v>
      </c>
      <c r="BX5" s="303">
        <v>1132615.2849999999</v>
      </c>
      <c r="BY5" s="275">
        <v>386672.15100000001</v>
      </c>
      <c r="BZ5" s="275">
        <v>370351.30499999999</v>
      </c>
      <c r="CA5" s="275">
        <v>370604.43</v>
      </c>
      <c r="CB5" s="275">
        <v>369325.91100000002</v>
      </c>
      <c r="CC5" s="275">
        <v>366206.696</v>
      </c>
      <c r="CD5" s="275">
        <v>386663.73</v>
      </c>
      <c r="CE5" s="275">
        <v>399533.64600000001</v>
      </c>
      <c r="CF5" s="275">
        <v>409415.70899999997</v>
      </c>
      <c r="CG5" s="275">
        <v>417516.00300000003</v>
      </c>
      <c r="CH5" s="275">
        <v>435654.174</v>
      </c>
      <c r="CI5" s="275">
        <v>431372.902</v>
      </c>
      <c r="CJ5" s="275">
        <v>434393.15</v>
      </c>
      <c r="CK5" s="275">
        <v>435611.266</v>
      </c>
      <c r="CL5" s="337">
        <v>424855.05599999998</v>
      </c>
      <c r="CM5" s="338">
        <v>426715.82400000002</v>
      </c>
      <c r="CN5" s="338">
        <v>427758.77299999999</v>
      </c>
      <c r="CO5" s="339">
        <v>422412.11099999998</v>
      </c>
      <c r="CP5" s="339">
        <v>417825.41499999998</v>
      </c>
      <c r="CQ5" s="339">
        <v>418062.34899999999</v>
      </c>
      <c r="CR5" s="340">
        <v>438944.83500000002</v>
      </c>
      <c r="CS5" s="340">
        <v>464046.185</v>
      </c>
      <c r="CT5" s="341">
        <v>515937.30699999997</v>
      </c>
      <c r="CU5" s="341">
        <v>581770.97900000005</v>
      </c>
      <c r="CV5" s="341">
        <v>640476.87699999998</v>
      </c>
      <c r="CW5" s="341">
        <v>722264.01399999997</v>
      </c>
      <c r="CX5" s="340">
        <v>747587.29099999997</v>
      </c>
      <c r="CY5" s="338">
        <v>811810.255</v>
      </c>
      <c r="CZ5" s="342">
        <v>866576.71299999999</v>
      </c>
      <c r="DA5" s="288">
        <v>919697.24800000002</v>
      </c>
      <c r="DB5" s="288">
        <v>976219.67500000005</v>
      </c>
      <c r="DC5" s="288">
        <v>1021163.325</v>
      </c>
      <c r="DD5" s="288">
        <v>1062535.675</v>
      </c>
      <c r="DE5" s="288">
        <v>1083590.5889999999</v>
      </c>
      <c r="DF5" s="288">
        <v>1068780.1910000001</v>
      </c>
      <c r="DG5" s="288">
        <v>1028700.826</v>
      </c>
      <c r="DH5" s="288">
        <v>969341.07299999997</v>
      </c>
      <c r="DI5" s="288">
        <v>927875.33600000001</v>
      </c>
      <c r="DJ5" s="288">
        <v>864617.90300000005</v>
      </c>
      <c r="DK5" s="288">
        <v>857473.68400000001</v>
      </c>
      <c r="DL5" s="288">
        <v>854856.85499999998</v>
      </c>
      <c r="DM5" s="288">
        <v>862832.39500000002</v>
      </c>
      <c r="DN5" s="288">
        <v>863995.26500000001</v>
      </c>
      <c r="DO5" s="288">
        <v>846953.41899999999</v>
      </c>
      <c r="DP5" s="288">
        <v>850473.90700000001</v>
      </c>
      <c r="DQ5" s="288">
        <v>855610.13</v>
      </c>
      <c r="DR5" s="288">
        <v>888008.06499999994</v>
      </c>
      <c r="DS5" s="288">
        <v>942677.39199999999</v>
      </c>
      <c r="DT5" s="288">
        <v>998692.25100000005</v>
      </c>
      <c r="DU5" s="288">
        <v>1019849.553</v>
      </c>
      <c r="DV5" s="288">
        <v>971189.68700000003</v>
      </c>
      <c r="DW5" s="288">
        <v>967648.06200000003</v>
      </c>
      <c r="DX5" s="379">
        <v>966419.43099999998</v>
      </c>
      <c r="DY5" s="384">
        <v>972896.54700000002</v>
      </c>
      <c r="DZ5" s="384">
        <v>984614.91599999997</v>
      </c>
      <c r="EA5" s="288">
        <v>986803.674</v>
      </c>
      <c r="EB5" s="288">
        <v>1023921.336</v>
      </c>
      <c r="EC5" s="342">
        <v>1033046.203</v>
      </c>
      <c r="ED5" s="342">
        <v>1023275.4449999999</v>
      </c>
      <c r="EE5" s="342">
        <v>1018312.547</v>
      </c>
      <c r="EF5" s="342">
        <v>1015630.7439999999</v>
      </c>
      <c r="EG5" s="342">
        <v>1038246.672</v>
      </c>
      <c r="EH5" s="342">
        <v>1027343.125</v>
      </c>
      <c r="EI5" s="342">
        <v>1001754.7929999999</v>
      </c>
      <c r="EJ5" s="342">
        <v>994077.79399999999</v>
      </c>
      <c r="EK5" s="342">
        <v>985077.946</v>
      </c>
      <c r="EL5" s="342">
        <v>982280.08799999999</v>
      </c>
      <c r="EM5" s="342">
        <v>956107.23899999994</v>
      </c>
      <c r="EN5" s="342">
        <v>977530.84900000005</v>
      </c>
      <c r="EO5" s="342">
        <v>975359.62699999998</v>
      </c>
      <c r="EP5" s="342">
        <v>984010.46400000004</v>
      </c>
      <c r="EQ5" s="342">
        <v>1012684.1679999999</v>
      </c>
      <c r="ER5" s="342">
        <v>1018980.578</v>
      </c>
      <c r="ES5" s="342">
        <v>1030228.974</v>
      </c>
      <c r="ET5" s="342">
        <v>1038363.438</v>
      </c>
      <c r="EU5" s="342">
        <v>1028624.052</v>
      </c>
      <c r="EV5" s="342">
        <v>1043763.355</v>
      </c>
    </row>
    <row r="6" spans="1:152" s="90" customFormat="1" x14ac:dyDescent="0.2">
      <c r="A6" s="299" t="s">
        <v>204</v>
      </c>
      <c r="B6" s="299">
        <v>-20525.362410000002</v>
      </c>
      <c r="C6" s="299">
        <v>-10352.523760000002</v>
      </c>
      <c r="D6" s="299">
        <v>-19038.194080000001</v>
      </c>
      <c r="E6" s="299">
        <v>30439.44025</v>
      </c>
      <c r="F6" s="299">
        <v>-36623.879870000004</v>
      </c>
      <c r="G6" s="299">
        <v>-21165.536170000003</v>
      </c>
      <c r="H6" s="299">
        <v>45816.55068</v>
      </c>
      <c r="I6" s="299">
        <v>-64589.550200000005</v>
      </c>
      <c r="J6" s="299">
        <v>-63687.085989999992</v>
      </c>
      <c r="K6" s="299">
        <v>-7928.6253400000014</v>
      </c>
      <c r="L6" s="304">
        <v>-20329.55385</v>
      </c>
      <c r="M6" s="304">
        <v>1716.0629499999993</v>
      </c>
      <c r="N6" s="304">
        <v>-33881.007319999997</v>
      </c>
      <c r="O6" s="304">
        <v>43825.343079999999</v>
      </c>
      <c r="P6" s="304">
        <v>44.229519999999553</v>
      </c>
      <c r="Q6" s="304">
        <v>28377.624889999999</v>
      </c>
      <c r="R6" s="304">
        <v>136924.36189000003</v>
      </c>
      <c r="S6" s="304">
        <v>167349.08747</v>
      </c>
      <c r="T6" s="304">
        <v>99723.668510000003</v>
      </c>
      <c r="U6" s="304">
        <v>167269.43188999998</v>
      </c>
      <c r="V6" s="304">
        <v>202291.61485000001</v>
      </c>
      <c r="W6" s="304">
        <v>168267.99761999998</v>
      </c>
      <c r="X6" s="304">
        <v>189864.65018999999</v>
      </c>
      <c r="Y6" s="304">
        <v>133445.0613</v>
      </c>
      <c r="Z6" s="304">
        <v>148629.44105000002</v>
      </c>
      <c r="AA6" s="304">
        <v>109067.01388</v>
      </c>
      <c r="AB6" s="304">
        <v>77479.095239999995</v>
      </c>
      <c r="AC6" s="304">
        <v>71568.043909999993</v>
      </c>
      <c r="AD6" s="304">
        <v>124143.09319</v>
      </c>
      <c r="AE6" s="304">
        <v>89434.715100000016</v>
      </c>
      <c r="AF6" s="304">
        <v>41361.115340000004</v>
      </c>
      <c r="AG6" s="304">
        <v>50826.347849999991</v>
      </c>
      <c r="AH6" s="304">
        <v>-5335.1019800000004</v>
      </c>
      <c r="AI6" s="304">
        <v>27801.966809999994</v>
      </c>
      <c r="AJ6" s="304">
        <v>97780.631549999991</v>
      </c>
      <c r="AK6" s="304">
        <v>108870.92155</v>
      </c>
      <c r="AL6" s="304">
        <v>101507.20105</v>
      </c>
      <c r="AM6" s="304">
        <v>103922.73337999999</v>
      </c>
      <c r="AN6" s="304">
        <v>118591.52856999999</v>
      </c>
      <c r="AO6" s="304">
        <v>94255.134279999998</v>
      </c>
      <c r="AP6" s="304">
        <v>96654.176590000003</v>
      </c>
      <c r="AQ6" s="304">
        <v>114916.92191</v>
      </c>
      <c r="AR6" s="304">
        <v>146950.69003</v>
      </c>
      <c r="AS6" s="304">
        <v>92561.377689999994</v>
      </c>
      <c r="AT6" s="304">
        <v>80391.972540000002</v>
      </c>
      <c r="AU6" s="304">
        <v>111992.80784000001</v>
      </c>
      <c r="AV6" s="304">
        <v>105042.44458999998</v>
      </c>
      <c r="AW6" s="304">
        <v>118858.53735</v>
      </c>
      <c r="AX6" s="304">
        <v>119537.90850999999</v>
      </c>
      <c r="AY6" s="304">
        <v>146989.53438</v>
      </c>
      <c r="AZ6" s="304">
        <v>152073.21773000003</v>
      </c>
      <c r="BA6" s="304">
        <v>160184.82850999999</v>
      </c>
      <c r="BB6" s="304">
        <v>202417.64331000001</v>
      </c>
      <c r="BC6" s="304">
        <v>167510.77527999997</v>
      </c>
      <c r="BD6" s="304">
        <v>170883.10321</v>
      </c>
      <c r="BE6" s="304">
        <v>176088.2653</v>
      </c>
      <c r="BF6" s="304">
        <v>114119.72812999999</v>
      </c>
      <c r="BG6" s="304">
        <v>142155.46558000002</v>
      </c>
      <c r="BH6" s="304">
        <v>131502.45139</v>
      </c>
      <c r="BI6" s="304">
        <v>152525.37820999997</v>
      </c>
      <c r="BJ6" s="304">
        <v>132640.59444999998</v>
      </c>
      <c r="BK6" s="304">
        <v>146263.43023999999</v>
      </c>
      <c r="BL6" s="444">
        <v>127690.99068</v>
      </c>
      <c r="BM6" s="444">
        <v>106384.07986</v>
      </c>
      <c r="BN6" s="304">
        <v>111818.44411</v>
      </c>
      <c r="BO6" s="304">
        <v>136263.94687000001</v>
      </c>
      <c r="BP6" s="304">
        <v>155142.01462</v>
      </c>
      <c r="BQ6" s="304">
        <v>161130.79102999999</v>
      </c>
      <c r="BR6" s="304">
        <v>139090.38547000001</v>
      </c>
      <c r="BS6" s="444">
        <v>180199.67781999998</v>
      </c>
      <c r="BT6" s="304">
        <v>163159.51284000001</v>
      </c>
      <c r="BU6" s="304">
        <v>156971.70937</v>
      </c>
      <c r="BV6" s="304">
        <v>197244.68096</v>
      </c>
      <c r="BW6" s="304">
        <v>117855.10514000001</v>
      </c>
      <c r="BX6" s="303">
        <v>1752951.33877</v>
      </c>
      <c r="BY6" s="275">
        <v>-92699.569659999994</v>
      </c>
      <c r="BZ6" s="275">
        <v>-116340.93549</v>
      </c>
      <c r="CA6" s="275">
        <v>-115463.87869</v>
      </c>
      <c r="CB6" s="275">
        <v>-156879.80205999999</v>
      </c>
      <c r="CC6" s="275">
        <v>-178123.50195000001</v>
      </c>
      <c r="CD6" s="275">
        <v>-78340.484729999996</v>
      </c>
      <c r="CE6" s="275">
        <v>-61383.740100000003</v>
      </c>
      <c r="CF6" s="275">
        <v>-119192.65879</v>
      </c>
      <c r="CG6" s="275">
        <v>-176466.24496000001</v>
      </c>
      <c r="CH6" s="275">
        <v>-132571.69032000002</v>
      </c>
      <c r="CI6" s="275">
        <v>-202218.89606</v>
      </c>
      <c r="CJ6" s="275">
        <v>-221414.38208999997</v>
      </c>
      <c r="CK6" s="275">
        <v>-231705.26524000001</v>
      </c>
      <c r="CL6" s="337">
        <v>-231509.45668</v>
      </c>
      <c r="CM6" s="338">
        <v>-219440.86997000003</v>
      </c>
      <c r="CN6" s="338">
        <v>-234283.68321000008</v>
      </c>
      <c r="CO6" s="339">
        <v>-220897.78038000001</v>
      </c>
      <c r="CP6" s="339">
        <v>-184229.67098999998</v>
      </c>
      <c r="CQ6" s="339">
        <v>-91801.547749999998</v>
      </c>
      <c r="CR6" s="340">
        <v>66288.350310000053</v>
      </c>
      <c r="CS6" s="340">
        <v>187820.88710000005</v>
      </c>
      <c r="CT6" s="341">
        <v>352134.10580999998</v>
      </c>
      <c r="CU6" s="341">
        <v>583090.62368999992</v>
      </c>
      <c r="CV6" s="341">
        <v>793310.86387999996</v>
      </c>
      <c r="CW6" s="341">
        <v>981908.41535000002</v>
      </c>
      <c r="CX6" s="340">
        <v>1170057.0025899999</v>
      </c>
      <c r="CY6" s="338">
        <v>1337383.07121</v>
      </c>
      <c r="CZ6" s="342">
        <v>1442187.16918</v>
      </c>
      <c r="DA6" s="288">
        <v>1551209.9535399997</v>
      </c>
      <c r="DB6" s="288">
        <v>1600311.42389</v>
      </c>
      <c r="DC6" s="288">
        <v>1534955.1059099999</v>
      </c>
      <c r="DD6" s="288">
        <v>1491749.1116299999</v>
      </c>
      <c r="DE6" s="288">
        <v>1481460.1582200001</v>
      </c>
      <c r="DF6" s="288">
        <v>1355551.8416699998</v>
      </c>
      <c r="DG6" s="288">
        <v>1204086.57467</v>
      </c>
      <c r="DH6" s="288">
        <v>1030483.4750699998</v>
      </c>
      <c r="DI6" s="288">
        <v>868420.7916900001</v>
      </c>
      <c r="DJ6" s="288">
        <v>832756.36194000009</v>
      </c>
      <c r="DK6" s="288">
        <v>792997.84243999992</v>
      </c>
      <c r="DL6" s="288">
        <v>785438.02960999985</v>
      </c>
      <c r="DM6" s="288">
        <v>811881.66775000002</v>
      </c>
      <c r="DN6" s="288">
        <v>858905.1524100001</v>
      </c>
      <c r="DO6" s="288">
        <v>829017.19350000005</v>
      </c>
      <c r="DP6" s="288">
        <v>836236.65498999995</v>
      </c>
      <c r="DQ6" s="288">
        <v>909792.46155999997</v>
      </c>
      <c r="DR6" s="288">
        <v>1005916.80374</v>
      </c>
      <c r="DS6" s="288">
        <v>1103813.2834099999</v>
      </c>
      <c r="DT6" s="288">
        <v>1156403.2891399998</v>
      </c>
      <c r="DU6" s="288">
        <v>1170615.4654300001</v>
      </c>
      <c r="DV6" s="288">
        <v>1166786.98847</v>
      </c>
      <c r="DW6" s="288">
        <v>1184138.3247700001</v>
      </c>
      <c r="DX6" s="379">
        <v>1199753.4998999999</v>
      </c>
      <c r="DY6" s="384">
        <v>1228151.5057099997</v>
      </c>
      <c r="DZ6" s="384">
        <v>1285969.5891599997</v>
      </c>
      <c r="EA6" s="288">
        <v>1349500.2410800001</v>
      </c>
      <c r="EB6" s="288">
        <v>1437000.96248</v>
      </c>
      <c r="EC6" s="342">
        <v>1457561.04773</v>
      </c>
      <c r="ED6" s="342">
        <v>1535882.7732500001</v>
      </c>
      <c r="EE6" s="342">
        <v>1631579.0660100002</v>
      </c>
      <c r="EF6" s="342">
        <v>1633705.9863</v>
      </c>
      <c r="EG6" s="342">
        <v>1670819.0072899999</v>
      </c>
      <c r="EH6" s="342">
        <v>1683462.9213299998</v>
      </c>
      <c r="EI6" s="342">
        <v>1716450.3910299998</v>
      </c>
      <c r="EJ6" s="342">
        <v>1702101.4510999997</v>
      </c>
      <c r="EK6" s="342">
        <v>1696291.6636099997</v>
      </c>
      <c r="EL6" s="342">
        <v>1663797.8257800001</v>
      </c>
      <c r="EM6" s="342">
        <v>1567764.2623299998</v>
      </c>
      <c r="EN6" s="342">
        <v>1512071.9311599999</v>
      </c>
      <c r="EO6" s="342">
        <v>1477452.7748199999</v>
      </c>
      <c r="EP6" s="342">
        <v>1456506.5241400001</v>
      </c>
      <c r="EQ6" s="342">
        <v>1503517.5870399999</v>
      </c>
      <c r="ER6" s="342">
        <v>1500452.5069299999</v>
      </c>
      <c r="ES6" s="342">
        <v>1549149.7333600002</v>
      </c>
      <c r="ET6" s="342">
        <v>1559783.8679899997</v>
      </c>
      <c r="EU6" s="342">
        <v>1584114.9829099996</v>
      </c>
      <c r="EV6" s="342">
        <v>1635096.2336299997</v>
      </c>
    </row>
    <row r="7" spans="1:152" s="105" customFormat="1" ht="13.5" thickBot="1" x14ac:dyDescent="0.25">
      <c r="A7" s="305" t="s">
        <v>86</v>
      </c>
      <c r="B7" s="305">
        <v>26267.478429999999</v>
      </c>
      <c r="C7" s="305">
        <v>44775.178639999998</v>
      </c>
      <c r="D7" s="305">
        <v>38236.878130000005</v>
      </c>
      <c r="E7" s="305">
        <v>30173.21789</v>
      </c>
      <c r="F7" s="305">
        <v>34141.159089999994</v>
      </c>
      <c r="G7" s="305">
        <v>43392.02418</v>
      </c>
      <c r="H7" s="305">
        <v>83500.158200000005</v>
      </c>
      <c r="I7" s="305">
        <v>38603.429649999998</v>
      </c>
      <c r="J7" s="305">
        <v>79836.718510000006</v>
      </c>
      <c r="K7" s="305">
        <v>66796.934819999995</v>
      </c>
      <c r="L7" s="306">
        <v>30287.796900000001</v>
      </c>
      <c r="M7" s="306">
        <v>44067.945450000007</v>
      </c>
      <c r="N7" s="306">
        <v>49836.522029999993</v>
      </c>
      <c r="O7" s="306">
        <v>73949.438099999999</v>
      </c>
      <c r="P7" s="306">
        <v>-25490.615890000001</v>
      </c>
      <c r="Q7" s="306">
        <v>80238.974409999995</v>
      </c>
      <c r="R7" s="306">
        <v>134275.65682</v>
      </c>
      <c r="S7" s="306">
        <v>168848.98071999996</v>
      </c>
      <c r="T7" s="306">
        <v>152864.72891999999</v>
      </c>
      <c r="U7" s="306">
        <v>146727.63017000002</v>
      </c>
      <c r="V7" s="306">
        <v>174787.42668999999</v>
      </c>
      <c r="W7" s="306">
        <v>178402.39116000003</v>
      </c>
      <c r="X7" s="306">
        <v>168817.88058</v>
      </c>
      <c r="Y7" s="306">
        <v>142604.97320000001</v>
      </c>
      <c r="Z7" s="306">
        <v>197555.88049000001</v>
      </c>
      <c r="AA7" s="306">
        <v>186387.58228</v>
      </c>
      <c r="AB7" s="306">
        <v>177965.32901999998</v>
      </c>
      <c r="AC7" s="306">
        <v>121716.86694999998</v>
      </c>
      <c r="AD7" s="306">
        <v>215754.44101000001</v>
      </c>
      <c r="AE7" s="306">
        <v>183929.87112</v>
      </c>
      <c r="AF7" s="306">
        <v>154747.00244000001</v>
      </c>
      <c r="AG7" s="306">
        <v>181881.95504</v>
      </c>
      <c r="AH7" s="306">
        <v>56800.229200000002</v>
      </c>
      <c r="AI7" s="306">
        <v>98975.817590000006</v>
      </c>
      <c r="AJ7" s="306">
        <v>172498.66500000001</v>
      </c>
      <c r="AK7" s="306">
        <v>236109.20634</v>
      </c>
      <c r="AL7" s="306">
        <v>195499.53970000494</v>
      </c>
      <c r="AM7" s="306">
        <v>203657.57635999998</v>
      </c>
      <c r="AN7" s="306">
        <v>240416.05443000002</v>
      </c>
      <c r="AO7" s="306">
        <v>205005.84963999997</v>
      </c>
      <c r="AP7" s="306">
        <v>229813.35312000001</v>
      </c>
      <c r="AQ7" s="306">
        <v>243264.38944999999</v>
      </c>
      <c r="AR7" s="306">
        <v>269153.86191000004</v>
      </c>
      <c r="AS7" s="306">
        <v>228527.39556000003</v>
      </c>
      <c r="AT7" s="306">
        <v>224336.94528000007</v>
      </c>
      <c r="AU7" s="306">
        <v>249624.06164000003</v>
      </c>
      <c r="AV7" s="306">
        <v>235907.50973999998</v>
      </c>
      <c r="AW7" s="306">
        <v>249133.40805</v>
      </c>
      <c r="AX7" s="306">
        <v>227898.16841000004</v>
      </c>
      <c r="AY7" s="306">
        <v>276924.51109999995</v>
      </c>
      <c r="AZ7" s="306">
        <v>254370.62368999998</v>
      </c>
      <c r="BA7" s="306">
        <v>286356.63617999997</v>
      </c>
      <c r="BB7" s="306">
        <v>344724.87586999993</v>
      </c>
      <c r="BC7" s="306">
        <v>335968.55066000001</v>
      </c>
      <c r="BD7" s="306">
        <v>315047.60118</v>
      </c>
      <c r="BE7" s="306">
        <v>326738.90926000004</v>
      </c>
      <c r="BF7" s="306">
        <v>245683.02370999998</v>
      </c>
      <c r="BG7" s="306">
        <v>269344.91038000007</v>
      </c>
      <c r="BH7" s="306">
        <v>269635.24666</v>
      </c>
      <c r="BI7" s="306">
        <v>315070.80330999999</v>
      </c>
      <c r="BJ7" s="306">
        <v>333700.61885999999</v>
      </c>
      <c r="BK7" s="306">
        <v>219818.28419999999</v>
      </c>
      <c r="BL7" s="306">
        <v>380229.00338999997</v>
      </c>
      <c r="BM7" s="306">
        <v>328113.79796000005</v>
      </c>
      <c r="BN7" s="306">
        <v>330316.27604000003</v>
      </c>
      <c r="BO7" s="306">
        <v>388433.23540999991</v>
      </c>
      <c r="BP7" s="306">
        <v>411399.94410000002</v>
      </c>
      <c r="BQ7" s="445">
        <v>472938.73040999996</v>
      </c>
      <c r="BR7" s="306">
        <v>391059.03194999998</v>
      </c>
      <c r="BS7" s="306">
        <v>430483.12501999992</v>
      </c>
      <c r="BT7" s="306">
        <v>408069.47301000002</v>
      </c>
      <c r="BU7" s="306">
        <v>378077.10987000004</v>
      </c>
      <c r="BV7" s="306">
        <v>537711.27543000004</v>
      </c>
      <c r="BW7" s="306">
        <v>384950.22827000002</v>
      </c>
      <c r="BX7" s="303">
        <v>4841781.2308599995</v>
      </c>
      <c r="BY7" s="276">
        <v>364353.53461999999</v>
      </c>
      <c r="BZ7" s="276">
        <v>335476.35162999999</v>
      </c>
      <c r="CA7" s="276">
        <v>329794.97639000003</v>
      </c>
      <c r="CB7" s="276">
        <v>322254.15233000001</v>
      </c>
      <c r="CC7" s="276">
        <v>314189.17206999997</v>
      </c>
      <c r="CD7" s="276">
        <v>382811.92427000002</v>
      </c>
      <c r="CE7" s="276">
        <v>401830.37365999998</v>
      </c>
      <c r="CF7" s="276">
        <v>407447.16318999999</v>
      </c>
      <c r="CG7" s="276">
        <v>399383.52215999999</v>
      </c>
      <c r="CH7" s="276">
        <v>433333.77007000003</v>
      </c>
      <c r="CI7" s="277">
        <v>425405.87728000002</v>
      </c>
      <c r="CJ7" s="277">
        <v>479906.00789000012</v>
      </c>
      <c r="CK7" s="277">
        <v>522940.78075000009</v>
      </c>
      <c r="CL7" s="343">
        <v>526961.09922000009</v>
      </c>
      <c r="CM7" s="344">
        <v>526253.86603000003</v>
      </c>
      <c r="CN7" s="344">
        <v>537853.50993000006</v>
      </c>
      <c r="CO7" s="345">
        <v>581629.73014000023</v>
      </c>
      <c r="CP7" s="345">
        <v>521997.95516000007</v>
      </c>
      <c r="CQ7" s="345">
        <v>565019.32636000018</v>
      </c>
      <c r="CR7" s="345">
        <v>655902.95900000015</v>
      </c>
      <c r="CS7" s="346">
        <v>741251.78151999996</v>
      </c>
      <c r="CT7" s="347">
        <v>855513.08079000004</v>
      </c>
      <c r="CU7" s="347">
        <v>922403.99244999979</v>
      </c>
      <c r="CV7" s="347">
        <v>1030394.4843199997</v>
      </c>
      <c r="CW7" s="347">
        <v>1178509.0785799997</v>
      </c>
      <c r="CX7" s="346">
        <v>1303259.0137100001</v>
      </c>
      <c r="CY7" s="344">
        <v>1396027.4648799999</v>
      </c>
      <c r="CZ7" s="348">
        <v>1519633.9072699999</v>
      </c>
      <c r="DA7" s="349">
        <v>1731512.1054399998</v>
      </c>
      <c r="DB7" s="349">
        <v>1829238.4600499996</v>
      </c>
      <c r="DC7" s="349">
        <v>1816679.6701799999</v>
      </c>
      <c r="DD7" s="349">
        <v>1863585.1304699997</v>
      </c>
      <c r="DE7" s="349">
        <v>1894650.2726700001</v>
      </c>
      <c r="DF7" s="349">
        <v>1902669.64494</v>
      </c>
      <c r="DG7" s="349">
        <v>1909764.1732900001</v>
      </c>
      <c r="DH7" s="349">
        <v>1788162.0113299999</v>
      </c>
      <c r="DI7" s="349">
        <v>1718319.9483399997</v>
      </c>
      <c r="DJ7" s="349">
        <v>1748213.6401399998</v>
      </c>
      <c r="DK7" s="349">
        <v>1786766.9659899997</v>
      </c>
      <c r="DL7" s="349">
        <v>1795878.9234100049</v>
      </c>
      <c r="DM7" s="349">
        <v>1821571.1707500049</v>
      </c>
      <c r="DN7" s="349">
        <v>1940270.358230005</v>
      </c>
      <c r="DO7" s="349">
        <v>1929521.766860005</v>
      </c>
      <c r="DP7" s="349">
        <v>1975405.2488600053</v>
      </c>
      <c r="DQ7" s="349">
        <v>2063922.6358700055</v>
      </c>
      <c r="DR7" s="349">
        <v>2151194.5427400051</v>
      </c>
      <c r="DS7" s="349">
        <v>2322921.7091000052</v>
      </c>
      <c r="DT7" s="349">
        <v>2448282.8367900047</v>
      </c>
      <c r="DU7" s="349">
        <v>2525408.2334300042</v>
      </c>
      <c r="DV7" s="349">
        <v>2525206.5368300043</v>
      </c>
      <c r="DW7" s="349">
        <v>2578840.4051800002</v>
      </c>
      <c r="DX7" s="380">
        <v>2603080.9972300008</v>
      </c>
      <c r="DY7" s="385">
        <v>2639589.4539000005</v>
      </c>
      <c r="DZ7" s="385">
        <v>2688954.2279500002</v>
      </c>
      <c r="EA7" s="349">
        <v>2745497.5110100005</v>
      </c>
      <c r="EB7" s="288">
        <v>2846957.9974299995</v>
      </c>
      <c r="EC7" s="348">
        <v>2913772.6861799988</v>
      </c>
      <c r="ED7" s="348">
        <v>3000292.8917999994</v>
      </c>
      <c r="EE7" s="348">
        <v>3102694.8557799994</v>
      </c>
      <c r="EF7" s="348">
        <v>3098753.8178499993</v>
      </c>
      <c r="EG7" s="348">
        <v>3132191.218489999</v>
      </c>
      <c r="EH7" s="348">
        <v>3152693.0571000003</v>
      </c>
      <c r="EI7" s="348">
        <v>3239865.6919999993</v>
      </c>
      <c r="EJ7" s="348">
        <v>3296641.7997599998</v>
      </c>
      <c r="EK7" s="348">
        <v>3262089.4602700006</v>
      </c>
      <c r="EL7" s="348">
        <v>3355961.82748</v>
      </c>
      <c r="EM7" s="348">
        <v>3339350.7495699991</v>
      </c>
      <c r="EN7" s="348">
        <v>3333698.4749499983</v>
      </c>
      <c r="EO7" s="348">
        <v>3407084.1091800001</v>
      </c>
      <c r="EP7" s="348">
        <v>3491745.1440200005</v>
      </c>
      <c r="EQ7" s="348">
        <v>3719000.8507200009</v>
      </c>
      <c r="ER7" s="348">
        <v>3840714.9722899999</v>
      </c>
      <c r="ES7" s="348">
        <v>4001562.850649999</v>
      </c>
      <c r="ET7" s="348">
        <v>4094561.5203499994</v>
      </c>
      <c r="EU7" s="348">
        <v>4138938.011359999</v>
      </c>
      <c r="EV7" s="348">
        <v>4456831.0025899997</v>
      </c>
    </row>
    <row r="8" spans="1:152" s="123" customFormat="1" ht="13.5" thickBot="1" x14ac:dyDescent="0.25">
      <c r="A8" s="307" t="s">
        <v>205</v>
      </c>
      <c r="B8" s="308">
        <v>41453.16502</v>
      </c>
      <c r="C8" s="308">
        <v>79661.563880000002</v>
      </c>
      <c r="D8" s="308">
        <v>60569.556050000007</v>
      </c>
      <c r="E8" s="308">
        <v>117515.82014</v>
      </c>
      <c r="F8" s="308">
        <v>44020.061219999989</v>
      </c>
      <c r="G8" s="308">
        <v>65304.544009999998</v>
      </c>
      <c r="H8" s="308">
        <v>174070.26988000001</v>
      </c>
      <c r="I8" s="308">
        <v>-1207.192550000007</v>
      </c>
      <c r="J8" s="308">
        <v>42245.508520000018</v>
      </c>
      <c r="K8" s="308">
        <v>89968.611479999992</v>
      </c>
      <c r="L8" s="309">
        <v>34913.082049999997</v>
      </c>
      <c r="M8" s="309">
        <v>92883.685400000017</v>
      </c>
      <c r="N8" s="309">
        <v>58369.335709999999</v>
      </c>
      <c r="O8" s="309">
        <v>169331.28117999999</v>
      </c>
      <c r="P8" s="309">
        <v>16469.699630000003</v>
      </c>
      <c r="Q8" s="310">
        <v>148931.30229999998</v>
      </c>
      <c r="R8" s="311">
        <v>335160.56070999999</v>
      </c>
      <c r="S8" s="311">
        <v>406052.97918999998</v>
      </c>
      <c r="T8" s="311">
        <v>329258.44743</v>
      </c>
      <c r="U8" s="311">
        <v>405926.61005999998</v>
      </c>
      <c r="V8" s="311">
        <v>466885.24154000002</v>
      </c>
      <c r="W8" s="311">
        <v>453412.36477999995</v>
      </c>
      <c r="X8" s="311">
        <v>431105.48476999998</v>
      </c>
      <c r="Y8" s="311">
        <v>382686.81949999998</v>
      </c>
      <c r="Z8" s="311">
        <v>452508.27954000002</v>
      </c>
      <c r="AA8" s="311">
        <v>390491.21716</v>
      </c>
      <c r="AB8" s="311">
        <v>352281.55426</v>
      </c>
      <c r="AC8" s="311">
        <v>302189.10285999998</v>
      </c>
      <c r="AD8" s="311">
        <v>451124.79519999999</v>
      </c>
      <c r="AE8" s="311">
        <v>371089.55021999998</v>
      </c>
      <c r="AF8" s="311">
        <v>273227.26777999999</v>
      </c>
      <c r="AG8" s="312">
        <v>282435.13789000001</v>
      </c>
      <c r="AH8" s="312">
        <v>98847.350219999993</v>
      </c>
      <c r="AI8" s="312">
        <v>157735.00140000001</v>
      </c>
      <c r="AJ8" s="312">
        <v>313658.64854999998</v>
      </c>
      <c r="AK8" s="312">
        <v>444158.86689</v>
      </c>
      <c r="AL8" s="312">
        <v>389426.53275000496</v>
      </c>
      <c r="AM8" s="312">
        <v>412392.97973999992</v>
      </c>
      <c r="AN8" s="312">
        <v>469074.64500000002</v>
      </c>
      <c r="AO8" s="312">
        <v>393446.39891999995</v>
      </c>
      <c r="AP8" s="312">
        <v>427712.98171000002</v>
      </c>
      <c r="AQ8" s="312">
        <v>440436.68436000001</v>
      </c>
      <c r="AR8" s="312">
        <v>498229.32194000005</v>
      </c>
      <c r="AS8" s="312">
        <v>423140.32325000002</v>
      </c>
      <c r="AT8" s="312">
        <v>391700.99382000009</v>
      </c>
      <c r="AU8" s="312">
        <v>426153.52348000003</v>
      </c>
      <c r="AV8" s="312">
        <v>391468.82733</v>
      </c>
      <c r="AW8" s="312">
        <v>456870.11239999998</v>
      </c>
      <c r="AX8" s="312">
        <v>451020.11592000001</v>
      </c>
      <c r="AY8" s="312">
        <v>540458.22347999993</v>
      </c>
      <c r="AZ8" s="312">
        <v>512347.62542</v>
      </c>
      <c r="BA8" s="312">
        <v>549975.6746899999</v>
      </c>
      <c r="BB8" s="312">
        <v>666515.55417999998</v>
      </c>
      <c r="BC8" s="312">
        <v>594728.96294</v>
      </c>
      <c r="BD8" s="312">
        <v>578211.49638999999</v>
      </c>
      <c r="BE8" s="312">
        <v>584836.35256000003</v>
      </c>
      <c r="BF8" s="312">
        <v>421657.60284000001</v>
      </c>
      <c r="BG8" s="312">
        <v>484635.17696000007</v>
      </c>
      <c r="BH8" s="312">
        <v>479112.31805</v>
      </c>
      <c r="BI8" s="312">
        <v>545591.88852000004</v>
      </c>
      <c r="BJ8" s="312">
        <v>575208.39231000002</v>
      </c>
      <c r="BK8" s="312">
        <v>462985.65044</v>
      </c>
      <c r="BL8" s="442">
        <v>608556.34606999997</v>
      </c>
      <c r="BM8" s="312">
        <v>527698.06382000004</v>
      </c>
      <c r="BN8" s="312">
        <v>554807.96715000004</v>
      </c>
      <c r="BO8" s="312">
        <v>614806.7522799999</v>
      </c>
      <c r="BP8" s="312">
        <v>657201.97372000001</v>
      </c>
      <c r="BQ8" s="312">
        <v>724598.07643999998</v>
      </c>
      <c r="BR8" s="312">
        <v>609580.62841999996</v>
      </c>
      <c r="BS8" s="312">
        <v>699905.81883999985</v>
      </c>
      <c r="BT8" s="442">
        <v>657359.15685000003</v>
      </c>
      <c r="BU8" s="442">
        <v>634176.61224000016</v>
      </c>
      <c r="BV8" s="442">
        <v>846999.19539000001</v>
      </c>
      <c r="BW8" s="442">
        <v>591657.26341000001</v>
      </c>
      <c r="BX8" s="425">
        <v>7727347.85463</v>
      </c>
      <c r="BY8" s="350">
        <v>658326.11596000008</v>
      </c>
      <c r="BZ8" s="350">
        <v>589486.72114000004</v>
      </c>
      <c r="CA8" s="350">
        <v>584935.52769999998</v>
      </c>
      <c r="CB8" s="350">
        <v>534700.26127000002</v>
      </c>
      <c r="CC8" s="350">
        <v>502272.36611999996</v>
      </c>
      <c r="CD8" s="350">
        <v>691135.16953999992</v>
      </c>
      <c r="CE8" s="350">
        <v>739980.27955999994</v>
      </c>
      <c r="CF8" s="350">
        <v>697670.21340000001</v>
      </c>
      <c r="CG8" s="350">
        <v>640433.28020000004</v>
      </c>
      <c r="CH8" s="350">
        <v>736416.25374999992</v>
      </c>
      <c r="CI8" s="350">
        <v>654559.88321999996</v>
      </c>
      <c r="CJ8" s="350">
        <v>692884.77580000018</v>
      </c>
      <c r="CK8" s="350">
        <v>726846.78151000012</v>
      </c>
      <c r="CL8" s="351">
        <v>720306.69854000001</v>
      </c>
      <c r="CM8" s="352">
        <v>733528.82006000006</v>
      </c>
      <c r="CN8" s="352">
        <v>731328.59971999994</v>
      </c>
      <c r="CO8" s="353">
        <v>783144.06076000025</v>
      </c>
      <c r="CP8" s="353">
        <v>755593.69917000004</v>
      </c>
      <c r="CQ8" s="353">
        <v>891280.1276100002</v>
      </c>
      <c r="CR8" s="353">
        <v>1161136.1443100004</v>
      </c>
      <c r="CS8" s="354">
        <v>1393118.85362</v>
      </c>
      <c r="CT8" s="355">
        <v>1723584.4935999999</v>
      </c>
      <c r="CU8" s="355">
        <v>2087265.5951399999</v>
      </c>
      <c r="CV8" s="355">
        <v>2464182.2251999998</v>
      </c>
      <c r="CW8" s="355">
        <v>2882681.5079299994</v>
      </c>
      <c r="CX8" s="354">
        <v>3220903.3073</v>
      </c>
      <c r="CY8" s="352">
        <v>3545220.79109</v>
      </c>
      <c r="CZ8" s="289">
        <v>3828397.7894499996</v>
      </c>
      <c r="DA8" s="289">
        <v>4202419.3069799999</v>
      </c>
      <c r="DB8" s="289">
        <v>4405769.5589399999</v>
      </c>
      <c r="DC8" s="289">
        <v>4372798.1010899991</v>
      </c>
      <c r="DD8" s="289">
        <v>4417869.9170999993</v>
      </c>
      <c r="DE8" s="289">
        <v>4459701.0198900001</v>
      </c>
      <c r="DF8" s="289">
        <v>4327001.6776099997</v>
      </c>
      <c r="DG8" s="289">
        <v>4142551.5739599997</v>
      </c>
      <c r="DH8" s="289">
        <v>3787986.5593999997</v>
      </c>
      <c r="DI8" s="289">
        <v>3514616.0760299996</v>
      </c>
      <c r="DJ8" s="289">
        <v>3445587.9050799999</v>
      </c>
      <c r="DK8" s="289">
        <v>3437238.4924299996</v>
      </c>
      <c r="DL8" s="289">
        <v>3436173.808020005</v>
      </c>
      <c r="DM8" s="289">
        <v>3496285.2335000047</v>
      </c>
      <c r="DN8" s="289">
        <v>3663170.7756400052</v>
      </c>
      <c r="DO8" s="289">
        <v>3605492.3793600053</v>
      </c>
      <c r="DP8" s="289">
        <v>3662115.8108500051</v>
      </c>
      <c r="DQ8" s="289">
        <v>3829325.2274300056</v>
      </c>
      <c r="DR8" s="289">
        <v>4045119.4114800049</v>
      </c>
      <c r="DS8" s="289">
        <v>4369412.3845100049</v>
      </c>
      <c r="DT8" s="289">
        <v>4603378.376930004</v>
      </c>
      <c r="DU8" s="289">
        <v>4715873.2518600039</v>
      </c>
      <c r="DV8" s="289">
        <v>4663183.2123000044</v>
      </c>
      <c r="DW8" s="289">
        <v>4730626.7919500005</v>
      </c>
      <c r="DX8" s="381">
        <v>4769253.9281300008</v>
      </c>
      <c r="DY8" s="386">
        <v>4840637.5066100005</v>
      </c>
      <c r="DZ8" s="386">
        <v>4959538.7331099994</v>
      </c>
      <c r="EA8" s="386">
        <v>5081801.4260900002</v>
      </c>
      <c r="EB8" s="386">
        <v>5307880.2959099989</v>
      </c>
      <c r="EC8" s="289">
        <v>5404379.9369099988</v>
      </c>
      <c r="ED8" s="289">
        <v>5559451.1100499993</v>
      </c>
      <c r="EE8" s="289">
        <v>5752586.4687900003</v>
      </c>
      <c r="EF8" s="289">
        <v>5748090.5481499992</v>
      </c>
      <c r="EG8" s="289">
        <v>5841256.8977799993</v>
      </c>
      <c r="EH8" s="289">
        <v>5863499.1034300001</v>
      </c>
      <c r="EI8" s="289">
        <v>5958070.876029999</v>
      </c>
      <c r="EJ8" s="289">
        <v>5992821.0448599998</v>
      </c>
      <c r="EK8" s="289">
        <v>5943459.0698800003</v>
      </c>
      <c r="EL8" s="289">
        <v>6002039.7412599996</v>
      </c>
      <c r="EM8" s="289">
        <v>5863222.2508999985</v>
      </c>
      <c r="EN8" s="289">
        <v>5823301.2551099984</v>
      </c>
      <c r="EO8" s="289">
        <v>5859896.5109999999</v>
      </c>
      <c r="EP8" s="289">
        <v>5932262.1321600005</v>
      </c>
      <c r="EQ8" s="289">
        <v>6235202.6057600006</v>
      </c>
      <c r="ER8" s="289">
        <v>6360148.0572199998</v>
      </c>
      <c r="ES8" s="289">
        <v>6580941.5580099989</v>
      </c>
      <c r="ET8" s="289">
        <v>6692708.8263399992</v>
      </c>
      <c r="EU8" s="289">
        <v>6751677.046269998</v>
      </c>
      <c r="EV8" s="289">
        <v>7135690.5912199989</v>
      </c>
    </row>
    <row r="9" spans="1:152" s="90" customFormat="1" ht="12" customHeight="1" x14ac:dyDescent="0.2">
      <c r="A9" s="313"/>
      <c r="B9" s="314"/>
      <c r="C9" s="314"/>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4"/>
      <c r="AY9" s="314"/>
      <c r="AZ9" s="314"/>
      <c r="BA9" s="314"/>
      <c r="BB9" s="314"/>
      <c r="BC9" s="314"/>
      <c r="BD9" s="314"/>
      <c r="BE9" s="314"/>
      <c r="BF9" s="314"/>
      <c r="BG9" s="314"/>
      <c r="BH9" s="314"/>
      <c r="BI9" s="314"/>
      <c r="BJ9" s="314"/>
      <c r="BK9" s="314"/>
      <c r="BL9" s="314"/>
      <c r="BM9" s="314"/>
      <c r="BN9" s="314"/>
      <c r="BO9" s="314"/>
      <c r="BP9" s="314"/>
      <c r="BQ9" s="314"/>
      <c r="BR9" s="314"/>
      <c r="BS9" s="314"/>
      <c r="BT9" s="314"/>
      <c r="BU9" s="314"/>
      <c r="BV9" s="314"/>
      <c r="BW9" s="314"/>
      <c r="BX9" s="314"/>
      <c r="BY9" s="338"/>
      <c r="BZ9" s="338"/>
      <c r="CA9" s="338"/>
      <c r="CB9" s="338"/>
      <c r="CC9" s="338"/>
      <c r="CD9" s="338"/>
      <c r="CE9" s="338"/>
      <c r="CF9" s="338"/>
      <c r="CG9" s="338"/>
      <c r="CH9" s="338"/>
      <c r="CI9" s="338"/>
      <c r="CJ9" s="338"/>
      <c r="CK9" s="338"/>
      <c r="CL9" s="338"/>
      <c r="CM9" s="338"/>
      <c r="CN9" s="338"/>
      <c r="CO9" s="338"/>
      <c r="CP9" s="338"/>
      <c r="CQ9" s="338"/>
      <c r="CR9" s="340"/>
      <c r="CS9" s="340"/>
      <c r="CT9" s="341"/>
      <c r="CU9" s="341"/>
      <c r="CV9" s="341"/>
      <c r="CW9" s="341"/>
      <c r="CX9" s="338"/>
      <c r="CY9" s="338"/>
      <c r="CZ9" s="342"/>
      <c r="DA9" s="338"/>
      <c r="DB9" s="338"/>
      <c r="DC9" s="338"/>
      <c r="DD9" s="338"/>
      <c r="DE9" s="338"/>
      <c r="DF9" s="338"/>
      <c r="DG9" s="338"/>
      <c r="DH9" s="338"/>
      <c r="DI9" s="338"/>
      <c r="DJ9" s="338"/>
      <c r="DK9" s="338"/>
      <c r="DL9" s="286"/>
      <c r="DM9" s="286"/>
      <c r="DN9" s="338"/>
      <c r="DO9" s="338"/>
      <c r="DP9" s="338"/>
      <c r="DQ9" s="338"/>
      <c r="DR9" s="338"/>
      <c r="DS9" s="338"/>
      <c r="DT9" s="338"/>
      <c r="DU9" s="338"/>
      <c r="DV9" s="338"/>
      <c r="DW9" s="338"/>
      <c r="DX9" s="379"/>
      <c r="DY9" s="384"/>
      <c r="DZ9" s="384"/>
      <c r="EA9" s="338"/>
      <c r="EB9" s="338"/>
      <c r="EC9" s="342"/>
      <c r="ED9" s="342"/>
      <c r="EE9" s="342"/>
      <c r="EF9" s="342"/>
      <c r="EG9" s="342"/>
      <c r="EH9" s="338"/>
      <c r="EI9" s="338"/>
      <c r="EJ9" s="338"/>
      <c r="EK9" s="338"/>
      <c r="EL9" s="338"/>
      <c r="EM9" s="338"/>
      <c r="EN9" s="338"/>
      <c r="EO9" s="338"/>
      <c r="EP9" s="338"/>
      <c r="EQ9" s="338"/>
      <c r="ER9" s="338"/>
      <c r="ES9" s="338"/>
      <c r="ET9" s="338"/>
      <c r="EU9" s="338"/>
      <c r="EV9" s="338"/>
    </row>
    <row r="10" spans="1:152" s="90" customFormat="1" ht="13.5" thickBot="1" x14ac:dyDescent="0.25">
      <c r="A10" s="315" t="s">
        <v>206</v>
      </c>
      <c r="B10" s="316">
        <v>51.2</v>
      </c>
      <c r="C10" s="316">
        <v>48.5</v>
      </c>
      <c r="D10" s="316">
        <v>51.8</v>
      </c>
      <c r="E10" s="316">
        <v>42.46</v>
      </c>
      <c r="F10" s="316">
        <v>54.35</v>
      </c>
      <c r="G10" s="316">
        <v>51.42</v>
      </c>
      <c r="H10" s="316">
        <v>36.51</v>
      </c>
      <c r="I10" s="316">
        <v>62.29</v>
      </c>
      <c r="J10" s="316">
        <v>62.26</v>
      </c>
      <c r="K10" s="316">
        <v>50.01</v>
      </c>
      <c r="L10" s="316">
        <v>52.28</v>
      </c>
      <c r="M10" s="317">
        <v>47.07</v>
      </c>
      <c r="N10" s="317">
        <v>53.63</v>
      </c>
      <c r="O10" s="318">
        <v>48.34</v>
      </c>
      <c r="P10" s="319">
        <v>54.77</v>
      </c>
      <c r="Q10" s="320">
        <v>48.6</v>
      </c>
      <c r="R10" s="321">
        <v>30.64</v>
      </c>
      <c r="S10" s="321">
        <v>19.63</v>
      </c>
      <c r="T10" s="321">
        <v>29.14</v>
      </c>
      <c r="U10" s="321">
        <v>24.83</v>
      </c>
      <c r="V10" s="321">
        <v>20.09</v>
      </c>
      <c r="W10" s="322">
        <v>28.44</v>
      </c>
      <c r="X10" s="322">
        <v>22.1</v>
      </c>
      <c r="Y10" s="322">
        <v>30.33</v>
      </c>
      <c r="Z10" s="322">
        <v>27.59</v>
      </c>
      <c r="AA10" s="322">
        <v>35.979999999999997</v>
      </c>
      <c r="AB10" s="322">
        <v>38.25</v>
      </c>
      <c r="AC10" s="322">
        <v>36.43</v>
      </c>
      <c r="AD10" s="322">
        <v>28.76</v>
      </c>
      <c r="AE10" s="322">
        <v>31.71</v>
      </c>
      <c r="AF10" s="322">
        <v>40.39</v>
      </c>
      <c r="AG10" s="322">
        <v>41.58</v>
      </c>
      <c r="AH10" s="322">
        <v>54.29</v>
      </c>
      <c r="AI10" s="322">
        <v>46.75</v>
      </c>
      <c r="AJ10" s="322">
        <v>34.299999999999997</v>
      </c>
      <c r="AK10" s="322">
        <v>30.18</v>
      </c>
      <c r="AL10" s="322">
        <v>32.47</v>
      </c>
      <c r="AM10" s="322">
        <v>34.76</v>
      </c>
      <c r="AN10" s="322">
        <v>32.99</v>
      </c>
      <c r="AO10" s="322">
        <v>33.68</v>
      </c>
      <c r="AP10" s="322">
        <v>31.62</v>
      </c>
      <c r="AQ10" s="322">
        <v>29.71</v>
      </c>
      <c r="AR10" s="323">
        <v>25.89</v>
      </c>
      <c r="AS10" s="323">
        <v>34.549999999999997</v>
      </c>
      <c r="AT10" s="323">
        <v>37.08</v>
      </c>
      <c r="AU10" s="323">
        <v>34.51</v>
      </c>
      <c r="AV10" s="323">
        <v>31.88</v>
      </c>
      <c r="AW10" s="323">
        <v>29.38</v>
      </c>
      <c r="AX10" s="323">
        <v>28.76</v>
      </c>
      <c r="AY10" s="323">
        <v>25.79</v>
      </c>
      <c r="AZ10" s="323">
        <v>25.55</v>
      </c>
      <c r="BA10" s="323">
        <v>22.32</v>
      </c>
      <c r="BB10" s="323">
        <v>15.45</v>
      </c>
      <c r="BC10" s="323">
        <v>17.18</v>
      </c>
      <c r="BD10" s="323">
        <v>20.11</v>
      </c>
      <c r="BE10" s="323">
        <v>21.94</v>
      </c>
      <c r="BF10" s="323">
        <v>33.65</v>
      </c>
      <c r="BG10" s="323">
        <v>29.31</v>
      </c>
      <c r="BH10" s="323">
        <v>26.12</v>
      </c>
      <c r="BI10" s="323">
        <v>22.41</v>
      </c>
      <c r="BJ10" s="323">
        <v>26.64</v>
      </c>
      <c r="BK10" s="323">
        <v>25.51</v>
      </c>
      <c r="BL10" s="418">
        <v>31.59</v>
      </c>
      <c r="BM10" s="418">
        <v>29.31</v>
      </c>
      <c r="BN10" s="418">
        <v>29.26</v>
      </c>
      <c r="BO10" s="418">
        <v>28.86</v>
      </c>
      <c r="BP10" s="418">
        <v>25.38</v>
      </c>
      <c r="BQ10" s="439">
        <v>23.77</v>
      </c>
      <c r="BR10" s="439">
        <v>31.6</v>
      </c>
      <c r="BS10" s="439">
        <v>23.75</v>
      </c>
      <c r="BT10" s="439">
        <v>22.26</v>
      </c>
      <c r="BU10" s="439">
        <v>26.98</v>
      </c>
      <c r="BV10" s="439">
        <v>16.079999999999998</v>
      </c>
      <c r="BW10" s="439">
        <v>31.26</v>
      </c>
      <c r="BX10" s="323"/>
      <c r="BY10" s="338"/>
      <c r="BZ10" s="338"/>
      <c r="CA10" s="338"/>
      <c r="CB10" s="338"/>
      <c r="CC10" s="338"/>
      <c r="CD10" s="338"/>
      <c r="CE10" s="338"/>
      <c r="CF10" s="338"/>
      <c r="CG10" s="338"/>
      <c r="CH10" s="338"/>
      <c r="CI10" s="338"/>
      <c r="CJ10" s="338"/>
      <c r="CK10" s="338"/>
      <c r="CL10" s="338"/>
      <c r="CM10" s="338"/>
      <c r="CN10" s="338"/>
      <c r="CO10" s="338"/>
      <c r="CP10" s="338"/>
      <c r="CQ10" s="338"/>
      <c r="CR10" s="340"/>
      <c r="CS10" s="279" t="s">
        <v>207</v>
      </c>
      <c r="CT10" s="356">
        <v>-1723584.4939999999</v>
      </c>
      <c r="CU10" s="357">
        <v>-2087265.5955399999</v>
      </c>
      <c r="CV10" s="357">
        <v>-2464182.2256</v>
      </c>
      <c r="CW10" s="357">
        <v>-2882681.5083299996</v>
      </c>
      <c r="CX10" s="358">
        <v>-3220903.3076999998</v>
      </c>
      <c r="CY10" s="338">
        <v>-3545220.7914899997</v>
      </c>
      <c r="CZ10" s="338">
        <v>-3828397.7897499995</v>
      </c>
      <c r="DA10" s="288">
        <v>-4202419.3072799994</v>
      </c>
      <c r="DB10" s="288">
        <v>-4405769.5592399994</v>
      </c>
      <c r="DC10" s="288">
        <v>-4372798.10109</v>
      </c>
      <c r="DD10" s="288">
        <v>-4417869.9170999993</v>
      </c>
      <c r="DE10" s="288">
        <v>-4459701.0198899992</v>
      </c>
      <c r="DF10" s="288">
        <v>-4327001.6776099997</v>
      </c>
      <c r="DG10" s="288">
        <v>-4142551.5739600002</v>
      </c>
      <c r="DH10" s="288">
        <v>-3787986.5593900005</v>
      </c>
      <c r="DI10" s="288">
        <v>-3514616.0760200005</v>
      </c>
      <c r="DJ10" s="288">
        <v>-3445587.9050700008</v>
      </c>
      <c r="DK10" s="288">
        <v>-3437238.49242</v>
      </c>
      <c r="DL10" s="287">
        <v>-3436173.80804</v>
      </c>
      <c r="DM10" s="287">
        <v>-3496285.2335199993</v>
      </c>
      <c r="DN10" s="288">
        <v>-3663170.7756599998</v>
      </c>
      <c r="DO10" s="288">
        <v>-3605492.3793800003</v>
      </c>
      <c r="DP10" s="288">
        <v>-3662115.8108699997</v>
      </c>
      <c r="DQ10" s="288">
        <v>-3829325.22744</v>
      </c>
      <c r="DR10" s="288">
        <v>-4045119.4114899999</v>
      </c>
      <c r="DS10" s="288">
        <v>-3946272.0612799996</v>
      </c>
      <c r="DT10" s="288">
        <v>-4603378.3769500004</v>
      </c>
      <c r="DU10" s="288">
        <v>-4715873.2518800003</v>
      </c>
      <c r="DV10" s="288">
        <v>-4663183.2123199999</v>
      </c>
      <c r="DW10" s="288">
        <v>-4730626791.9399996</v>
      </c>
      <c r="DX10" s="379">
        <v>-4769253.9281200003</v>
      </c>
      <c r="DY10" s="384">
        <v>-4840637.5066</v>
      </c>
      <c r="DZ10" s="384">
        <v>-4959538.7331000008</v>
      </c>
      <c r="EA10" s="288">
        <v>-5081801.4260799997</v>
      </c>
      <c r="EB10" s="288">
        <v>-5307880.2959099999</v>
      </c>
      <c r="EC10" s="407">
        <v>-5404379.9369099997</v>
      </c>
      <c r="ED10" s="407">
        <v>-5559451.1100399997</v>
      </c>
      <c r="EE10" s="407">
        <v>-5752586.4687900003</v>
      </c>
      <c r="EF10" s="407">
        <v>-6232923.4495900003</v>
      </c>
      <c r="EG10" s="407">
        <v>-5841454.6222600006</v>
      </c>
      <c r="EH10" s="407">
        <v>-5863499.1034300001</v>
      </c>
      <c r="EI10" s="407">
        <v>-5958070.876029999</v>
      </c>
      <c r="EJ10" s="407">
        <v>-5992821.0448599989</v>
      </c>
      <c r="EK10" s="407">
        <v>-5943459.0698799985</v>
      </c>
      <c r="EL10" s="407">
        <v>-5999439.7412599996</v>
      </c>
      <c r="EM10" s="407">
        <v>-5863222.2509000003</v>
      </c>
      <c r="EN10" s="407">
        <v>-5823301.2551099993</v>
      </c>
      <c r="EO10" s="407">
        <v>-5859896.5109999999</v>
      </c>
      <c r="EP10" s="407">
        <v>-5932262.1321599996</v>
      </c>
      <c r="EQ10" s="407">
        <v>-6234002.6057600006</v>
      </c>
      <c r="ER10" s="407">
        <v>-6358750.3327399995</v>
      </c>
      <c r="ES10" s="407">
        <v>-6579741.6240100004</v>
      </c>
      <c r="ET10" s="407">
        <v>-6691508.8923399998</v>
      </c>
      <c r="EU10" s="407">
        <v>-6750477.1122699995</v>
      </c>
      <c r="EV10" s="407">
        <v>-7134490.6572200004</v>
      </c>
    </row>
    <row r="11" spans="1:152" ht="15" thickTop="1" x14ac:dyDescent="0.3">
      <c r="A11" s="359"/>
      <c r="B11" s="360"/>
      <c r="C11" s="360"/>
      <c r="D11" s="360"/>
      <c r="E11" s="360"/>
      <c r="F11" s="360"/>
      <c r="G11" s="360"/>
      <c r="H11" s="360"/>
      <c r="I11" s="360"/>
      <c r="J11" s="360"/>
      <c r="K11" s="360"/>
      <c r="L11" s="360"/>
      <c r="M11" s="360"/>
      <c r="N11" s="360"/>
      <c r="O11" s="360"/>
      <c r="P11" s="360"/>
      <c r="Q11" s="360"/>
      <c r="R11" s="360"/>
      <c r="S11" s="360"/>
      <c r="T11" s="360"/>
      <c r="U11" s="360"/>
      <c r="V11" s="360"/>
      <c r="W11" s="360"/>
      <c r="X11" s="360"/>
      <c r="Y11" s="360"/>
      <c r="Z11" s="360"/>
      <c r="AA11" s="360"/>
      <c r="AB11" s="361"/>
      <c r="AC11" s="361"/>
      <c r="AD11" s="361"/>
      <c r="AE11" s="361"/>
      <c r="AF11" s="361"/>
      <c r="AG11" s="361"/>
      <c r="AH11" s="361"/>
      <c r="AI11" s="362"/>
      <c r="AJ11" s="362"/>
      <c r="AK11" s="362"/>
      <c r="AL11" s="362"/>
      <c r="AM11" s="362"/>
      <c r="AN11" s="362"/>
      <c r="AO11" s="362"/>
      <c r="AP11" s="362"/>
      <c r="AQ11" s="362"/>
      <c r="AR11" s="362"/>
      <c r="AS11" s="362"/>
      <c r="AT11" s="362"/>
      <c r="AU11" s="362"/>
      <c r="AV11" s="362"/>
      <c r="AW11" s="362"/>
      <c r="AX11" s="362"/>
      <c r="AY11" s="362"/>
      <c r="AZ11" s="362"/>
      <c r="BA11" s="362"/>
      <c r="BB11" s="362"/>
      <c r="BC11" s="362"/>
      <c r="BD11" s="362"/>
      <c r="BE11" s="362"/>
      <c r="BF11" s="362"/>
      <c r="BG11" s="362"/>
      <c r="BH11" s="362"/>
      <c r="BI11" s="362"/>
      <c r="BJ11" s="362"/>
      <c r="BK11" s="362"/>
      <c r="BL11" s="281" t="s">
        <v>208</v>
      </c>
      <c r="BM11" s="281" t="s">
        <v>208</v>
      </c>
      <c r="BN11" s="281" t="s">
        <v>208</v>
      </c>
      <c r="BO11" s="281" t="s">
        <v>208</v>
      </c>
      <c r="BP11" s="281" t="s">
        <v>208</v>
      </c>
      <c r="BQ11" s="281" t="s">
        <v>208</v>
      </c>
      <c r="BR11" s="281" t="s">
        <v>208</v>
      </c>
      <c r="BS11" s="281" t="s">
        <v>208</v>
      </c>
      <c r="BT11" s="281" t="s">
        <v>208</v>
      </c>
      <c r="BU11" s="281" t="s">
        <v>208</v>
      </c>
      <c r="BV11" s="281" t="s">
        <v>208</v>
      </c>
      <c r="BW11" s="281" t="s">
        <v>208</v>
      </c>
      <c r="BX11" s="360"/>
      <c r="BY11" s="278"/>
      <c r="BZ11" s="283"/>
      <c r="CA11" s="283"/>
      <c r="CB11" s="283"/>
      <c r="CC11" s="283"/>
      <c r="CD11" s="283"/>
      <c r="CE11" s="283"/>
      <c r="CF11" s="283"/>
      <c r="CG11" s="283"/>
      <c r="CH11" s="283"/>
      <c r="CI11" s="283"/>
      <c r="CJ11" s="283"/>
      <c r="CK11" s="283"/>
      <c r="CL11" s="283"/>
      <c r="CM11" s="283"/>
      <c r="CN11" s="283"/>
      <c r="CO11" s="283"/>
      <c r="CP11" s="283"/>
      <c r="CQ11" s="283"/>
      <c r="CR11" s="363"/>
      <c r="CS11" s="363"/>
      <c r="CT11" s="271"/>
      <c r="CU11" s="271"/>
      <c r="CV11" s="271"/>
      <c r="CW11" s="271"/>
      <c r="CX11" s="271"/>
      <c r="CY11" s="271"/>
      <c r="CZ11" s="271"/>
      <c r="DA11" s="271"/>
      <c r="DB11" s="271"/>
      <c r="DC11" s="271"/>
      <c r="DD11" s="271"/>
      <c r="DE11" s="271"/>
      <c r="DF11" s="271"/>
      <c r="DG11" s="271"/>
      <c r="DH11" s="271"/>
      <c r="DI11" s="271"/>
      <c r="DJ11" s="271"/>
      <c r="DK11" s="271"/>
      <c r="DL11" s="271"/>
      <c r="DM11" s="271"/>
      <c r="DN11" s="325"/>
      <c r="DO11" s="271"/>
      <c r="DP11" s="271"/>
      <c r="DQ11" s="271"/>
      <c r="DR11" s="271"/>
      <c r="DS11" s="271"/>
      <c r="DT11" s="271"/>
      <c r="DU11" s="271"/>
      <c r="DV11" s="271"/>
      <c r="DW11" s="271"/>
      <c r="DX11" s="271"/>
      <c r="DY11" s="271"/>
      <c r="DZ11" s="271"/>
      <c r="EA11" s="271"/>
      <c r="EB11" s="271"/>
      <c r="EC11" s="271"/>
      <c r="ED11" s="271"/>
      <c r="EE11" s="271"/>
      <c r="EF11" s="271"/>
      <c r="EG11" s="271"/>
      <c r="EH11" s="417">
        <v>0</v>
      </c>
      <c r="EI11" s="417">
        <v>0</v>
      </c>
      <c r="EJ11" s="417">
        <v>0</v>
      </c>
      <c r="EK11" s="417">
        <v>0</v>
      </c>
      <c r="EL11" s="417">
        <v>2600</v>
      </c>
      <c r="EM11" s="417">
        <v>0</v>
      </c>
      <c r="EN11" s="417">
        <v>0</v>
      </c>
      <c r="EO11" s="417">
        <v>0</v>
      </c>
      <c r="EP11" s="417">
        <v>0</v>
      </c>
      <c r="EQ11" s="417">
        <v>1200</v>
      </c>
      <c r="ER11" s="440">
        <v>1397.7244800003245</v>
      </c>
      <c r="ES11" s="443">
        <v>1199.933999998495</v>
      </c>
      <c r="ET11" s="443">
        <v>1199.9339999994263</v>
      </c>
      <c r="EU11" s="443">
        <v>1199.933999998495</v>
      </c>
      <c r="EV11" s="443">
        <v>1199.933999998495</v>
      </c>
    </row>
    <row r="12" spans="1:152" ht="14.25" x14ac:dyDescent="0.3">
      <c r="A12" s="274"/>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402"/>
      <c r="AX12" s="402"/>
      <c r="AY12" s="402"/>
      <c r="AZ12" s="402"/>
      <c r="BA12" s="402"/>
      <c r="BB12" s="281" t="s">
        <v>208</v>
      </c>
      <c r="BC12" s="280" t="s">
        <v>209</v>
      </c>
      <c r="BD12" s="375"/>
      <c r="BE12" s="375"/>
      <c r="BF12" s="375"/>
      <c r="BG12" s="362"/>
      <c r="BH12" s="362"/>
      <c r="BI12" s="362"/>
      <c r="BJ12" s="362"/>
      <c r="BK12" s="362"/>
      <c r="BL12" s="362"/>
      <c r="BM12" s="362"/>
      <c r="BN12" s="362"/>
      <c r="BO12" s="362"/>
      <c r="BP12" s="362"/>
      <c r="BQ12" s="362"/>
      <c r="BR12" s="362"/>
      <c r="BS12" s="362"/>
      <c r="BT12" s="362"/>
      <c r="BU12" s="362"/>
      <c r="BV12" s="362"/>
      <c r="BW12" s="362"/>
      <c r="BX12" s="360"/>
      <c r="BY12" s="396"/>
      <c r="BZ12" s="397"/>
      <c r="CA12" s="397"/>
      <c r="CB12" s="397"/>
      <c r="CC12" s="397"/>
      <c r="CD12" s="397"/>
      <c r="CE12" s="397"/>
      <c r="CF12" s="397"/>
      <c r="CG12" s="397"/>
      <c r="CH12" s="397"/>
      <c r="CI12" s="397"/>
      <c r="CJ12" s="397"/>
      <c r="CK12" s="397"/>
      <c r="CL12" s="397"/>
      <c r="CM12" s="397"/>
      <c r="CN12" s="397"/>
      <c r="CO12" s="397"/>
      <c r="CP12" s="397"/>
      <c r="CQ12" s="397"/>
      <c r="CR12" s="398"/>
      <c r="CS12" s="398"/>
      <c r="CT12" s="399"/>
      <c r="CU12" s="399"/>
      <c r="CV12" s="399"/>
      <c r="CW12" s="399"/>
      <c r="CX12" s="397"/>
      <c r="CY12" s="397"/>
      <c r="CZ12" s="400"/>
      <c r="DA12" s="397"/>
      <c r="DB12" s="397"/>
      <c r="DC12" s="397"/>
      <c r="DD12" s="397"/>
      <c r="DE12" s="397"/>
      <c r="DF12" s="397"/>
      <c r="DG12" s="401"/>
      <c r="DH12" s="397"/>
      <c r="DI12" s="397"/>
      <c r="DJ12" s="397"/>
      <c r="DK12" s="397"/>
      <c r="DL12" s="397"/>
      <c r="DM12" s="397"/>
      <c r="DN12" s="397"/>
      <c r="DO12" s="396"/>
      <c r="DP12" s="396"/>
      <c r="DQ12" s="397"/>
      <c r="DR12" s="396"/>
      <c r="DS12" s="397"/>
      <c r="DT12" s="405" t="s">
        <v>210</v>
      </c>
      <c r="DU12" s="397"/>
      <c r="DV12" s="397"/>
      <c r="DW12" s="397"/>
      <c r="DX12" s="405" t="s">
        <v>210</v>
      </c>
      <c r="DY12" s="403"/>
      <c r="DZ12" s="403"/>
      <c r="EA12" s="397"/>
      <c r="EB12" s="282"/>
      <c r="EC12" s="271"/>
      <c r="ED12" s="271"/>
      <c r="EE12" s="338" t="s">
        <v>211</v>
      </c>
      <c r="EF12" s="415">
        <v>-484832.90144000109</v>
      </c>
      <c r="EG12" s="415">
        <v>-197.72448000125587</v>
      </c>
      <c r="EH12" s="271"/>
      <c r="EI12" s="271"/>
      <c r="EJ12" s="271"/>
      <c r="EK12" s="271"/>
      <c r="EL12" s="271"/>
      <c r="EM12" s="271"/>
      <c r="EN12" s="271"/>
      <c r="EO12" s="271"/>
      <c r="EP12" s="271"/>
      <c r="EQ12" s="271"/>
      <c r="ER12" s="271"/>
      <c r="ES12" s="271"/>
      <c r="ET12" s="271"/>
      <c r="EU12" s="271"/>
      <c r="EV12" s="271"/>
    </row>
    <row r="13" spans="1:152" x14ac:dyDescent="0.2">
      <c r="A13" s="274"/>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402"/>
      <c r="AX13" s="402"/>
      <c r="AY13" s="402"/>
      <c r="AZ13" s="402"/>
      <c r="BA13" s="402"/>
      <c r="BB13" s="362"/>
      <c r="BC13" s="362"/>
      <c r="BD13" s="362"/>
      <c r="BE13" s="362"/>
      <c r="BF13" s="362"/>
      <c r="BG13" s="362"/>
      <c r="BH13" s="362"/>
      <c r="BI13" s="362"/>
      <c r="BJ13" s="362"/>
      <c r="BK13" s="362"/>
      <c r="BL13" s="362"/>
      <c r="BM13" s="362"/>
      <c r="BN13" s="362"/>
      <c r="BO13" s="362"/>
      <c r="BP13" s="362"/>
      <c r="BQ13" s="362"/>
      <c r="BR13" s="362"/>
      <c r="BS13" s="362"/>
      <c r="BT13" s="362"/>
      <c r="BU13" s="362"/>
      <c r="BV13" s="362"/>
      <c r="BW13" s="362"/>
      <c r="BX13" s="360"/>
      <c r="BY13" s="396"/>
      <c r="BZ13" s="397"/>
      <c r="CA13" s="397"/>
      <c r="CB13" s="397"/>
      <c r="CC13" s="397"/>
      <c r="CD13" s="397"/>
      <c r="CE13" s="397"/>
      <c r="CF13" s="397"/>
      <c r="CG13" s="397"/>
      <c r="CH13" s="397"/>
      <c r="CI13" s="397"/>
      <c r="CJ13" s="397"/>
      <c r="CK13" s="397"/>
      <c r="CL13" s="397"/>
      <c r="CM13" s="397"/>
      <c r="CN13" s="397"/>
      <c r="CO13" s="397"/>
      <c r="CP13" s="397"/>
      <c r="CQ13" s="397"/>
      <c r="CR13" s="398"/>
      <c r="CS13" s="398"/>
      <c r="CT13" s="399"/>
      <c r="CU13" s="399"/>
      <c r="CV13" s="399"/>
      <c r="CW13" s="399"/>
      <c r="CX13" s="397"/>
      <c r="CY13" s="397"/>
      <c r="CZ13" s="400"/>
      <c r="DA13" s="397"/>
      <c r="DB13" s="397"/>
      <c r="DC13" s="397"/>
      <c r="DD13" s="397"/>
      <c r="DE13" s="397"/>
      <c r="DF13" s="397"/>
      <c r="DG13" s="401"/>
      <c r="DH13" s="397"/>
      <c r="DI13" s="397"/>
      <c r="DJ13" s="397"/>
      <c r="DK13" s="397"/>
      <c r="DL13" s="397"/>
      <c r="DM13" s="397"/>
      <c r="DN13" s="397"/>
      <c r="DO13" s="396"/>
      <c r="DP13" s="396"/>
      <c r="DQ13" s="397"/>
      <c r="DR13" s="396"/>
      <c r="DS13" s="397"/>
      <c r="DT13" s="405"/>
      <c r="DU13" s="397"/>
      <c r="DV13" s="397"/>
      <c r="DW13" s="397"/>
      <c r="DX13" s="405"/>
      <c r="DY13" s="403"/>
      <c r="DZ13" s="403"/>
      <c r="EA13" s="397"/>
      <c r="EB13" s="282"/>
      <c r="EC13" s="271"/>
      <c r="ED13" s="271"/>
      <c r="EE13" s="338"/>
      <c r="EF13" s="423"/>
      <c r="EG13" s="423"/>
      <c r="EH13" s="417"/>
      <c r="EI13" s="271"/>
      <c r="EJ13" s="271"/>
      <c r="EK13" s="271"/>
      <c r="EL13" s="271"/>
      <c r="EM13" s="271"/>
      <c r="EN13" s="271"/>
      <c r="EO13" s="271"/>
      <c r="EP13" s="271"/>
      <c r="EQ13" s="271"/>
      <c r="ER13" s="271"/>
      <c r="ES13" s="271"/>
      <c r="ET13" s="271"/>
      <c r="EU13" s="271"/>
      <c r="EV13" s="271"/>
    </row>
    <row r="14" spans="1:152" ht="12.75" customHeight="1" x14ac:dyDescent="0.2">
      <c r="A14" s="274"/>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402"/>
      <c r="AX14" s="402"/>
      <c r="AY14" s="402"/>
      <c r="AZ14" s="402"/>
      <c r="BA14" s="402"/>
      <c r="BB14" s="507" t="s">
        <v>212</v>
      </c>
      <c r="BC14" s="507"/>
      <c r="BD14" s="507"/>
      <c r="BE14" s="507"/>
      <c r="BF14" s="507"/>
      <c r="BG14" s="421"/>
      <c r="BH14" s="496" t="s">
        <v>210</v>
      </c>
      <c r="BI14" s="508"/>
      <c r="BJ14" s="508"/>
      <c r="BK14" s="508"/>
      <c r="BL14" s="508"/>
      <c r="BM14" s="508"/>
      <c r="BN14" s="428"/>
      <c r="BO14" s="428"/>
      <c r="BP14" s="428"/>
      <c r="BQ14" s="428"/>
      <c r="BR14" s="428"/>
      <c r="BS14" s="428"/>
      <c r="BT14" s="428"/>
      <c r="BU14" s="428"/>
      <c r="BV14" s="428"/>
      <c r="BW14" s="428"/>
      <c r="BX14" s="395"/>
      <c r="BY14" s="396"/>
      <c r="BZ14" s="397"/>
      <c r="CA14" s="397"/>
      <c r="CB14" s="397"/>
      <c r="CC14" s="397"/>
      <c r="CD14" s="397"/>
      <c r="CE14" s="397"/>
      <c r="CF14" s="397"/>
      <c r="CG14" s="397"/>
      <c r="CH14" s="397"/>
      <c r="CI14" s="397"/>
      <c r="CJ14" s="397"/>
      <c r="CK14" s="397"/>
      <c r="CL14" s="397"/>
      <c r="CM14" s="397"/>
      <c r="CN14" s="397"/>
      <c r="CO14" s="397"/>
      <c r="CP14" s="397"/>
      <c r="CQ14" s="397"/>
      <c r="CR14" s="398"/>
      <c r="CS14" s="398"/>
      <c r="CT14" s="399"/>
      <c r="CU14" s="399"/>
      <c r="CV14" s="399"/>
      <c r="CW14" s="399"/>
      <c r="CX14" s="397"/>
      <c r="CY14" s="397"/>
      <c r="CZ14" s="400"/>
      <c r="DA14" s="397"/>
      <c r="DB14" s="397"/>
      <c r="DC14" s="397"/>
      <c r="DD14" s="397"/>
      <c r="DE14" s="397"/>
      <c r="DF14" s="397"/>
      <c r="DG14" s="401"/>
      <c r="DH14" s="397"/>
      <c r="DI14" s="397"/>
      <c r="DJ14" s="397"/>
      <c r="DK14" s="397"/>
      <c r="DL14" s="397"/>
      <c r="DM14" s="397"/>
      <c r="DN14" s="397"/>
      <c r="DO14" s="396"/>
      <c r="DP14" s="396"/>
      <c r="DQ14" s="397"/>
      <c r="DR14" s="396"/>
      <c r="DS14" s="397"/>
      <c r="DT14" s="405"/>
      <c r="DU14" s="397"/>
      <c r="DV14" s="397"/>
      <c r="DW14" s="397"/>
      <c r="DX14" s="405"/>
      <c r="DY14" s="403"/>
      <c r="DZ14" s="403"/>
      <c r="EA14" s="397"/>
      <c r="EB14" s="282"/>
      <c r="EC14" s="271"/>
      <c r="ED14" s="271"/>
      <c r="EE14" s="338"/>
      <c r="EF14" s="423"/>
      <c r="EG14" s="423"/>
      <c r="EH14" s="417"/>
      <c r="EI14" s="271"/>
      <c r="EJ14" s="271"/>
      <c r="EK14" s="271"/>
      <c r="EL14" s="271"/>
      <c r="EM14" s="271"/>
      <c r="EN14" s="271"/>
      <c r="EO14" s="271"/>
      <c r="EP14" s="271"/>
      <c r="EQ14" s="271"/>
      <c r="ER14" s="271"/>
      <c r="ES14" s="271"/>
      <c r="ET14" s="271"/>
      <c r="EU14" s="271"/>
      <c r="EV14" s="271"/>
    </row>
    <row r="15" spans="1:152" ht="12.75" customHeight="1" x14ac:dyDescent="0.2">
      <c r="A15" s="274"/>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402"/>
      <c r="AX15" s="402"/>
      <c r="AY15" s="402"/>
      <c r="AZ15" s="402"/>
      <c r="BA15" s="402"/>
      <c r="BB15" s="509" t="s">
        <v>213</v>
      </c>
      <c r="BC15" s="509"/>
      <c r="BD15" s="509"/>
      <c r="BE15" s="509"/>
      <c r="BF15" s="509"/>
      <c r="BG15" s="419"/>
      <c r="BH15" s="499" t="s">
        <v>214</v>
      </c>
      <c r="BI15" s="510"/>
      <c r="BJ15" s="510"/>
      <c r="BK15" s="510"/>
      <c r="BL15" s="510"/>
      <c r="BM15" s="510"/>
      <c r="BN15" s="427"/>
      <c r="BO15" s="427"/>
      <c r="BP15" s="427"/>
      <c r="BQ15" s="427"/>
      <c r="BR15" s="427"/>
      <c r="BS15" s="427"/>
      <c r="BT15" s="427"/>
      <c r="BU15" s="427"/>
      <c r="BV15" s="427"/>
      <c r="BW15" s="427"/>
      <c r="BX15" s="420"/>
      <c r="BY15" s="396"/>
      <c r="BZ15" s="397"/>
      <c r="CA15" s="397"/>
      <c r="CB15" s="397"/>
      <c r="CC15" s="397"/>
      <c r="CD15" s="397"/>
      <c r="CE15" s="397"/>
      <c r="CF15" s="397"/>
      <c r="CG15" s="397"/>
      <c r="CH15" s="397"/>
      <c r="CI15" s="397"/>
      <c r="CJ15" s="397"/>
      <c r="CK15" s="397"/>
      <c r="CL15" s="397"/>
      <c r="CM15" s="397"/>
      <c r="CN15" s="397"/>
      <c r="CO15" s="397"/>
      <c r="CP15" s="397"/>
      <c r="CQ15" s="397"/>
      <c r="CR15" s="398"/>
      <c r="CS15" s="398"/>
      <c r="CT15" s="399"/>
      <c r="CU15" s="399"/>
      <c r="CV15" s="399"/>
      <c r="CW15" s="399"/>
      <c r="CX15" s="397"/>
      <c r="CY15" s="397"/>
      <c r="CZ15" s="400"/>
      <c r="DA15" s="397"/>
      <c r="DB15" s="397"/>
      <c r="DC15" s="397"/>
      <c r="DD15" s="397"/>
      <c r="DE15" s="397"/>
      <c r="DF15" s="397"/>
      <c r="DG15" s="401"/>
      <c r="DH15" s="397"/>
      <c r="DI15" s="397"/>
      <c r="DJ15" s="397"/>
      <c r="DK15" s="397"/>
      <c r="DL15" s="397"/>
      <c r="DM15" s="397"/>
      <c r="DN15" s="397"/>
      <c r="DO15" s="396"/>
      <c r="DP15" s="396"/>
      <c r="DQ15" s="397"/>
      <c r="DR15" s="396"/>
      <c r="DS15" s="397"/>
      <c r="DT15" s="405"/>
      <c r="DU15" s="397"/>
      <c r="DV15" s="397"/>
      <c r="DW15" s="397"/>
      <c r="DX15" s="405"/>
      <c r="DY15" s="403"/>
      <c r="DZ15" s="403"/>
      <c r="EA15" s="397"/>
      <c r="EB15" s="282"/>
      <c r="EC15" s="271"/>
      <c r="ED15" s="271"/>
      <c r="EE15" s="338"/>
      <c r="EF15" s="423"/>
      <c r="EG15" s="423"/>
      <c r="EH15" s="417"/>
      <c r="EI15" s="271"/>
      <c r="EJ15" s="271"/>
      <c r="EK15" s="271"/>
      <c r="EL15" s="271"/>
      <c r="EM15" s="271"/>
      <c r="EN15" s="271"/>
      <c r="EO15" s="271"/>
      <c r="EP15" s="271"/>
      <c r="EQ15" s="271"/>
      <c r="ER15" s="271"/>
      <c r="ES15" s="271"/>
      <c r="ET15" s="271"/>
      <c r="EU15" s="271"/>
      <c r="EV15" s="271"/>
    </row>
    <row r="16" spans="1:152" ht="13.5" thickBot="1" x14ac:dyDescent="0.25">
      <c r="A16" s="33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3"/>
      <c r="AN16" s="283"/>
      <c r="AO16" s="283"/>
      <c r="AP16" s="283"/>
      <c r="AQ16" s="283"/>
      <c r="AR16" s="283"/>
      <c r="AS16" s="283"/>
      <c r="AT16" s="283"/>
      <c r="AU16" s="283"/>
      <c r="AV16" s="283"/>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9" t="s">
        <v>213</v>
      </c>
      <c r="BY16" s="390" t="s">
        <v>210</v>
      </c>
      <c r="BZ16" s="388"/>
      <c r="CA16" s="388"/>
      <c r="CB16" s="388"/>
      <c r="CC16" s="388"/>
      <c r="CD16" s="388"/>
      <c r="CE16" s="388"/>
      <c r="CF16" s="388"/>
      <c r="CG16" s="388"/>
      <c r="CH16" s="388"/>
      <c r="CI16" s="388"/>
      <c r="CJ16" s="388"/>
      <c r="CK16" s="388"/>
      <c r="CL16" s="388"/>
      <c r="CM16" s="388"/>
      <c r="CN16" s="388"/>
      <c r="CO16" s="388"/>
      <c r="CP16" s="388"/>
      <c r="CQ16" s="388"/>
      <c r="CR16" s="391"/>
      <c r="CS16" s="391"/>
      <c r="CT16" s="392"/>
      <c r="CU16" s="392"/>
      <c r="CV16" s="392"/>
      <c r="CW16" s="392"/>
      <c r="CX16" s="388"/>
      <c r="CY16" s="388"/>
      <c r="CZ16" s="393"/>
      <c r="DA16" s="388"/>
      <c r="DB16" s="388"/>
      <c r="DC16" s="388"/>
      <c r="DD16" s="388"/>
      <c r="DE16" s="388"/>
      <c r="DF16" s="388"/>
      <c r="DG16" s="388"/>
      <c r="DH16" s="388"/>
      <c r="DI16" s="388"/>
      <c r="DJ16" s="388"/>
      <c r="DK16" s="388"/>
      <c r="DL16" s="388"/>
      <c r="DM16" s="388"/>
      <c r="DN16" s="388"/>
      <c r="DO16" s="388"/>
      <c r="DP16" s="388"/>
      <c r="DQ16" s="388"/>
      <c r="DR16" s="388"/>
      <c r="DS16" s="388"/>
      <c r="DT16" s="404" t="s">
        <v>214</v>
      </c>
      <c r="DU16" s="388"/>
      <c r="DV16" s="388"/>
      <c r="DW16" s="388"/>
      <c r="DX16" s="404" t="s">
        <v>214</v>
      </c>
      <c r="DY16" s="394"/>
      <c r="DZ16" s="394"/>
      <c r="EA16" s="271"/>
      <c r="EB16" s="282"/>
      <c r="EC16" s="271"/>
      <c r="ED16" s="271"/>
      <c r="EE16" s="338" t="s">
        <v>215</v>
      </c>
      <c r="EF16" s="416">
        <v>-197.72448000102304</v>
      </c>
      <c r="EG16" s="271"/>
      <c r="EH16" s="271"/>
      <c r="EI16" s="271"/>
      <c r="EJ16" s="404" t="s">
        <v>214</v>
      </c>
      <c r="EK16" s="271"/>
      <c r="EL16" s="271"/>
      <c r="EM16" s="271"/>
      <c r="EN16" s="271"/>
      <c r="EO16" s="271"/>
      <c r="EP16" s="271"/>
      <c r="EQ16" s="271"/>
      <c r="ER16" s="271"/>
      <c r="ES16" s="271"/>
      <c r="ET16" s="271"/>
      <c r="EU16" s="271"/>
      <c r="EV16" s="271"/>
    </row>
    <row r="17" spans="1:152" ht="13.5" thickTop="1" x14ac:dyDescent="0.2">
      <c r="A17" s="364"/>
      <c r="B17" s="271"/>
      <c r="C17" s="271"/>
      <c r="D17" s="271"/>
      <c r="E17" s="271"/>
      <c r="F17" s="271"/>
      <c r="G17" s="271"/>
      <c r="H17" s="271"/>
      <c r="I17" s="271"/>
      <c r="J17" s="271"/>
      <c r="K17" s="271"/>
      <c r="L17" s="271"/>
      <c r="M17" s="271"/>
      <c r="N17" s="271"/>
      <c r="O17" s="271"/>
      <c r="P17" s="271"/>
      <c r="Q17" s="271"/>
      <c r="R17" s="271"/>
      <c r="S17" s="271"/>
      <c r="T17" s="271"/>
      <c r="U17" s="271"/>
      <c r="V17" s="271"/>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76"/>
      <c r="BZ17" s="271"/>
      <c r="CA17" s="271"/>
      <c r="CB17" s="271"/>
      <c r="CC17" s="271"/>
      <c r="CD17" s="271"/>
      <c r="CE17" s="271"/>
      <c r="CF17" s="271"/>
      <c r="CG17" s="271"/>
      <c r="CH17" s="271"/>
      <c r="CI17" s="271"/>
      <c r="CJ17" s="271"/>
      <c r="CK17" s="271"/>
      <c r="CL17" s="271"/>
      <c r="CM17" s="271"/>
      <c r="CN17" s="271"/>
      <c r="CO17" s="271"/>
      <c r="CP17" s="271"/>
      <c r="CQ17" s="271"/>
      <c r="CR17" s="271"/>
      <c r="CS17" s="271"/>
      <c r="CT17" s="271"/>
      <c r="CU17" s="271"/>
      <c r="CV17" s="271"/>
      <c r="CW17" s="271"/>
      <c r="CX17" s="271"/>
      <c r="CY17" s="271"/>
      <c r="CZ17" s="271"/>
      <c r="DA17" s="271"/>
      <c r="DB17" s="271"/>
      <c r="DC17" s="271"/>
      <c r="DD17" s="271"/>
      <c r="DE17" s="271"/>
      <c r="DF17" s="271"/>
      <c r="DG17" s="271"/>
      <c r="DH17" s="271"/>
      <c r="DI17" s="271"/>
      <c r="DJ17" s="271"/>
      <c r="DK17" s="271"/>
      <c r="DL17" s="271"/>
      <c r="DM17" s="271"/>
      <c r="DN17" s="271"/>
      <c r="DO17" s="271"/>
      <c r="DP17" s="271"/>
      <c r="DQ17" s="271"/>
      <c r="DR17" s="271"/>
      <c r="DS17" s="271"/>
      <c r="DT17" s="271"/>
      <c r="DU17" s="271"/>
      <c r="DV17" s="271"/>
      <c r="DW17" s="271"/>
      <c r="DX17" s="271"/>
      <c r="DY17" s="271"/>
      <c r="DZ17" s="271"/>
      <c r="EA17" s="271"/>
      <c r="EB17" s="271"/>
      <c r="EC17" s="271"/>
      <c r="ED17" s="271"/>
      <c r="EE17" s="271"/>
      <c r="EF17" s="271"/>
      <c r="EG17" s="271"/>
      <c r="EH17" s="271"/>
      <c r="EI17" s="271"/>
      <c r="EJ17" s="271"/>
      <c r="EK17" s="271"/>
      <c r="EL17" s="271"/>
      <c r="EM17" s="271"/>
      <c r="EN17" s="271"/>
      <c r="EO17" s="271"/>
      <c r="EV17" s="270"/>
    </row>
    <row r="18" spans="1:152" x14ac:dyDescent="0.2">
      <c r="A18" s="273" t="s">
        <v>84</v>
      </c>
      <c r="B18" s="366">
        <v>35.711048999999996</v>
      </c>
      <c r="C18" s="366">
        <v>45.238909</v>
      </c>
      <c r="D18" s="366">
        <v>41.370872000000006</v>
      </c>
      <c r="E18" s="366">
        <v>56.903161999999995</v>
      </c>
      <c r="F18" s="366">
        <v>46.502781999999996</v>
      </c>
      <c r="G18" s="366">
        <v>43.078055999999997</v>
      </c>
      <c r="H18" s="366">
        <v>44.753561000000005</v>
      </c>
      <c r="I18" s="366">
        <v>24.778928000000001</v>
      </c>
      <c r="J18" s="366">
        <v>26.095876000000001</v>
      </c>
      <c r="K18" s="366">
        <v>31.100301999999999</v>
      </c>
      <c r="L18" s="366">
        <v>24.954839</v>
      </c>
      <c r="M18" s="366">
        <v>47.099677</v>
      </c>
      <c r="N18" s="367">
        <v>42.413821000000006</v>
      </c>
      <c r="O18" s="367">
        <v>51.5565</v>
      </c>
      <c r="P18" s="367">
        <v>41.916086</v>
      </c>
      <c r="Q18" s="367">
        <v>40.314703000000002</v>
      </c>
      <c r="R18" s="367">
        <v>63.960542000000004</v>
      </c>
      <c r="S18" s="367">
        <v>69.854910999999987</v>
      </c>
      <c r="T18" s="367">
        <v>76.670050000000003</v>
      </c>
      <c r="U18" s="367">
        <v>91.929547999999997</v>
      </c>
      <c r="V18" s="367">
        <v>89.806200000000004</v>
      </c>
      <c r="W18" s="367">
        <v>106.74197599999999</v>
      </c>
      <c r="X18" s="367">
        <v>72.422954000000004</v>
      </c>
      <c r="Y18" s="367">
        <v>106.636785</v>
      </c>
      <c r="Z18" s="367">
        <v>106.322958</v>
      </c>
      <c r="AA18" s="367">
        <v>95.036620999999997</v>
      </c>
      <c r="AB18" s="367">
        <v>96.837130000000002</v>
      </c>
      <c r="AC18" s="367">
        <v>108.90419199999999</v>
      </c>
      <c r="AD18" s="367">
        <v>111.227261</v>
      </c>
      <c r="AE18" s="367">
        <v>97.724964000000014</v>
      </c>
      <c r="AF18" s="367">
        <v>77.119149999999991</v>
      </c>
      <c r="AG18" s="367">
        <v>49.726835000000001</v>
      </c>
      <c r="AH18" s="367">
        <v>47.382222999999996</v>
      </c>
      <c r="AI18" s="367">
        <v>30.957217</v>
      </c>
      <c r="AJ18" s="367">
        <v>43.379351999999997</v>
      </c>
      <c r="AK18" s="367">
        <v>99.178739000000007</v>
      </c>
      <c r="AL18" s="367">
        <v>92.419792000000001</v>
      </c>
      <c r="AM18" s="367">
        <v>104.81267</v>
      </c>
      <c r="AN18" s="367">
        <v>110.06706200000001</v>
      </c>
      <c r="AO18" s="367">
        <v>94.185414999999992</v>
      </c>
      <c r="AP18" s="367">
        <v>101.245452</v>
      </c>
      <c r="AQ18" s="367">
        <v>82.255373000000006</v>
      </c>
      <c r="AR18" s="367">
        <v>82.124769999999998</v>
      </c>
      <c r="AS18" s="367">
        <v>102.05155000000001</v>
      </c>
      <c r="AT18" s="409">
        <v>86.972076000000001</v>
      </c>
      <c r="AU18" s="409">
        <v>64.536653999999999</v>
      </c>
      <c r="AV18" s="409">
        <v>50.518872999999999</v>
      </c>
      <c r="AW18" s="409">
        <v>88.878167000000005</v>
      </c>
      <c r="AX18" s="409">
        <v>103.584039</v>
      </c>
      <c r="AY18" s="409">
        <v>116.544178</v>
      </c>
      <c r="AZ18" s="409">
        <v>105.903784</v>
      </c>
      <c r="BA18" s="409">
        <v>103.43421000000001</v>
      </c>
      <c r="BB18" s="409">
        <v>119.373035</v>
      </c>
      <c r="BC18" s="409">
        <v>91.249637000000007</v>
      </c>
      <c r="BD18" s="409">
        <v>92.280792000000005</v>
      </c>
      <c r="BE18" s="409">
        <v>82.009178000000006</v>
      </c>
      <c r="BF18" s="409">
        <v>61.854851000000004</v>
      </c>
      <c r="BG18" s="409">
        <v>73.13480100000001</v>
      </c>
      <c r="BH18" s="409">
        <v>77.974620000000002</v>
      </c>
      <c r="BI18" s="409">
        <v>77.995706999999996</v>
      </c>
      <c r="BJ18" s="409">
        <v>108.86717900000001</v>
      </c>
      <c r="BK18" s="409">
        <v>96.903936000000002</v>
      </c>
      <c r="BL18" s="409">
        <v>100.636352</v>
      </c>
      <c r="BM18" s="409">
        <v>93.200186000000002</v>
      </c>
      <c r="BN18" s="409">
        <v>112.673247</v>
      </c>
      <c r="BO18" s="409">
        <v>90.109570000000005</v>
      </c>
      <c r="BP18" s="409">
        <v>90.660015000000001</v>
      </c>
      <c r="BQ18" s="409">
        <v>90.528554999999997</v>
      </c>
      <c r="BR18" s="409">
        <v>79.43121099999999</v>
      </c>
      <c r="BS18" s="409">
        <v>89.223016000000001</v>
      </c>
      <c r="BT18" s="409">
        <v>86.130171000000004</v>
      </c>
      <c r="BU18" s="409">
        <v>99.127793000000011</v>
      </c>
      <c r="BV18" s="409">
        <v>112.043239</v>
      </c>
      <c r="BW18" s="409">
        <v>88.851929999999996</v>
      </c>
      <c r="BX18" s="410">
        <v>1132.6152849999999</v>
      </c>
      <c r="BY18" s="283"/>
      <c r="BZ18" s="283"/>
      <c r="CA18" s="283"/>
      <c r="CB18" s="283"/>
      <c r="CC18" s="283"/>
      <c r="CD18" s="283"/>
      <c r="CE18" s="283"/>
      <c r="CF18" s="283"/>
      <c r="CG18" s="283"/>
      <c r="CH18" s="283"/>
      <c r="CI18" s="283"/>
      <c r="CJ18" s="283"/>
      <c r="CK18" s="283"/>
      <c r="CL18" s="283"/>
      <c r="CM18" s="283"/>
      <c r="CN18" s="283"/>
      <c r="CO18" s="283"/>
      <c r="CP18" s="283"/>
      <c r="CQ18" s="283"/>
      <c r="CR18" s="363"/>
      <c r="CS18" s="363"/>
      <c r="CT18" s="368"/>
      <c r="CU18" s="368"/>
      <c r="CV18" s="368"/>
      <c r="CW18" s="368"/>
      <c r="CX18" s="283"/>
      <c r="CY18" s="283"/>
      <c r="CZ18" s="369"/>
      <c r="DA18" s="283"/>
      <c r="DB18" s="283"/>
      <c r="DC18" s="283"/>
      <c r="DD18" s="283"/>
      <c r="DE18" s="283"/>
      <c r="DF18" s="283"/>
      <c r="DG18" s="283"/>
      <c r="DH18" s="283"/>
      <c r="DI18" s="283"/>
      <c r="DJ18" s="283"/>
      <c r="DK18" s="283"/>
      <c r="DL18" s="283"/>
      <c r="DM18" s="271"/>
      <c r="DN18" s="271"/>
      <c r="DO18" s="271"/>
      <c r="DP18" s="271"/>
      <c r="DQ18" s="271"/>
      <c r="DR18" s="271"/>
      <c r="DS18" s="271"/>
      <c r="DT18" s="271"/>
      <c r="DU18" s="271"/>
      <c r="DV18" s="271"/>
      <c r="DW18" s="271"/>
      <c r="DX18" s="271"/>
      <c r="DY18" s="271"/>
      <c r="DZ18" s="271"/>
      <c r="EA18" s="271"/>
      <c r="EB18" s="271"/>
      <c r="EC18" s="271"/>
      <c r="ED18" s="271"/>
      <c r="EE18" s="271"/>
      <c r="EF18" s="271"/>
      <c r="EG18" s="271"/>
      <c r="EH18" s="271"/>
      <c r="EI18" s="271"/>
      <c r="EJ18" s="422"/>
      <c r="EK18" s="271"/>
      <c r="EL18" s="271"/>
      <c r="EM18" s="271"/>
      <c r="EN18" s="271"/>
      <c r="EO18" s="271"/>
    </row>
    <row r="19" spans="1:152" x14ac:dyDescent="0.2">
      <c r="A19" s="273" t="s">
        <v>85</v>
      </c>
      <c r="B19" s="366">
        <v>-20.525362410000003</v>
      </c>
      <c r="C19" s="366">
        <v>-10.352523760000002</v>
      </c>
      <c r="D19" s="366">
        <v>-19.03819408</v>
      </c>
      <c r="E19" s="366">
        <v>30.439440250000001</v>
      </c>
      <c r="F19" s="366">
        <v>-36.623879870000003</v>
      </c>
      <c r="G19" s="366">
        <v>-21.165536170000003</v>
      </c>
      <c r="H19" s="366">
        <v>45.816550679999999</v>
      </c>
      <c r="I19" s="366">
        <v>-64.589550200000005</v>
      </c>
      <c r="J19" s="366">
        <v>-63.687085989999993</v>
      </c>
      <c r="K19" s="366">
        <v>-7.9286253400000017</v>
      </c>
      <c r="L19" s="366">
        <v>-20.32955385</v>
      </c>
      <c r="M19" s="366">
        <v>1.7160629499999993</v>
      </c>
      <c r="N19" s="367">
        <v>-33.881007319999995</v>
      </c>
      <c r="O19" s="367">
        <v>43.825343079999996</v>
      </c>
      <c r="P19" s="367">
        <v>4.422951999999955E-2</v>
      </c>
      <c r="Q19" s="367">
        <v>28.37762489</v>
      </c>
      <c r="R19" s="367">
        <v>136.92436189000003</v>
      </c>
      <c r="S19" s="367">
        <v>167.34908747</v>
      </c>
      <c r="T19" s="367">
        <v>99.72366851000001</v>
      </c>
      <c r="U19" s="367">
        <v>167.26943188999996</v>
      </c>
      <c r="V19" s="367">
        <v>202.29161485</v>
      </c>
      <c r="W19" s="367">
        <v>168.26799761999999</v>
      </c>
      <c r="X19" s="367">
        <v>189.86465018999999</v>
      </c>
      <c r="Y19" s="367">
        <v>133.44506129999999</v>
      </c>
      <c r="Z19" s="367">
        <v>148.62944105000003</v>
      </c>
      <c r="AA19" s="367">
        <v>109.06701388</v>
      </c>
      <c r="AB19" s="367">
        <v>77.479095239999992</v>
      </c>
      <c r="AC19" s="367">
        <v>71.56804391</v>
      </c>
      <c r="AD19" s="367">
        <v>124.14309319</v>
      </c>
      <c r="AE19" s="367">
        <v>89.43471510000002</v>
      </c>
      <c r="AF19" s="367">
        <v>41.361115340000005</v>
      </c>
      <c r="AG19" s="367">
        <v>50.826347849999991</v>
      </c>
      <c r="AH19" s="367">
        <v>-5.3351019800000001</v>
      </c>
      <c r="AI19" s="367">
        <v>27.801966809999996</v>
      </c>
      <c r="AJ19" s="367">
        <v>97.780631549999995</v>
      </c>
      <c r="AK19" s="367">
        <v>108.87092155000001</v>
      </c>
      <c r="AL19" s="367">
        <v>101.50720105000001</v>
      </c>
      <c r="AM19" s="367">
        <v>103.92273338</v>
      </c>
      <c r="AN19" s="367">
        <v>118.59152856999999</v>
      </c>
      <c r="AO19" s="367">
        <v>94.255134279999993</v>
      </c>
      <c r="AP19" s="367">
        <v>96.654176590000006</v>
      </c>
      <c r="AQ19" s="367">
        <v>114.91692191</v>
      </c>
      <c r="AR19" s="367">
        <v>146.95069003</v>
      </c>
      <c r="AS19" s="367">
        <v>92.56137769</v>
      </c>
      <c r="AT19" s="409">
        <v>80.391972539999998</v>
      </c>
      <c r="AU19" s="409">
        <v>111.99280784000001</v>
      </c>
      <c r="AV19" s="409">
        <v>105.04244458999999</v>
      </c>
      <c r="AW19" s="409">
        <v>118.85853734999999</v>
      </c>
      <c r="AX19" s="409">
        <v>119.53790850999999</v>
      </c>
      <c r="AY19" s="409">
        <v>146.98953438000001</v>
      </c>
      <c r="AZ19" s="409">
        <v>152.07321773000004</v>
      </c>
      <c r="BA19" s="409">
        <v>160.18482850999999</v>
      </c>
      <c r="BB19" s="409">
        <v>202.41764331000002</v>
      </c>
      <c r="BC19" s="409">
        <v>167.51077527999996</v>
      </c>
      <c r="BD19" s="409">
        <v>170.88310321</v>
      </c>
      <c r="BE19" s="409">
        <v>176.08826529999999</v>
      </c>
      <c r="BF19" s="409">
        <v>114.11972812999998</v>
      </c>
      <c r="BG19" s="409">
        <v>142.15546558000003</v>
      </c>
      <c r="BH19" s="409">
        <v>131.50245139</v>
      </c>
      <c r="BI19" s="409">
        <v>152.52537820999996</v>
      </c>
      <c r="BJ19" s="409">
        <v>132.64059444999998</v>
      </c>
      <c r="BK19" s="409">
        <v>146.26343023999999</v>
      </c>
      <c r="BL19" s="409">
        <v>127.69099068</v>
      </c>
      <c r="BM19" s="409">
        <v>106.38407986</v>
      </c>
      <c r="BN19" s="409">
        <v>111.81844411</v>
      </c>
      <c r="BO19" s="409">
        <v>136.26394687000001</v>
      </c>
      <c r="BP19" s="409">
        <v>155.14201462</v>
      </c>
      <c r="BQ19" s="409">
        <v>161.13079102999998</v>
      </c>
      <c r="BR19" s="409">
        <v>139.09038547</v>
      </c>
      <c r="BS19" s="409">
        <v>180.19967781999998</v>
      </c>
      <c r="BT19" s="409">
        <v>163.15951284000002</v>
      </c>
      <c r="BU19" s="409">
        <v>156.97170936999999</v>
      </c>
      <c r="BV19" s="409">
        <v>197.24468096000001</v>
      </c>
      <c r="BW19" s="409">
        <v>117.85510514000002</v>
      </c>
      <c r="BX19" s="410">
        <v>1752.9513387700001</v>
      </c>
      <c r="BY19" s="283"/>
      <c r="BZ19" s="284"/>
      <c r="CA19" s="283"/>
      <c r="CB19" s="283"/>
      <c r="CC19" s="283"/>
      <c r="CD19" s="283"/>
      <c r="CE19" s="283"/>
      <c r="CF19" s="283"/>
      <c r="CG19" s="283"/>
      <c r="CH19" s="283"/>
      <c r="CI19" s="283"/>
      <c r="CJ19" s="283"/>
      <c r="CK19" s="283"/>
      <c r="CL19" s="283"/>
      <c r="CM19" s="283"/>
      <c r="CN19" s="283"/>
      <c r="CO19" s="283"/>
      <c r="CP19" s="283"/>
      <c r="CQ19" s="283"/>
      <c r="CR19" s="363"/>
      <c r="CS19" s="363"/>
      <c r="CT19" s="368"/>
      <c r="CU19" s="368"/>
      <c r="CV19" s="368"/>
      <c r="CW19" s="368"/>
      <c r="CX19" s="283"/>
      <c r="CY19" s="283"/>
      <c r="CZ19" s="369"/>
      <c r="DA19" s="283"/>
      <c r="DB19" s="283"/>
      <c r="DC19" s="283"/>
      <c r="DD19" s="283"/>
      <c r="DE19" s="283"/>
      <c r="DF19" s="283"/>
      <c r="DG19" s="283"/>
      <c r="DH19" s="283"/>
      <c r="DI19" s="283"/>
      <c r="DJ19" s="283"/>
      <c r="DK19" s="283"/>
      <c r="DL19" s="283"/>
      <c r="DM19" s="271"/>
      <c r="DN19" s="271"/>
      <c r="DO19" s="271"/>
      <c r="DP19" s="271"/>
      <c r="DQ19" s="271"/>
      <c r="DR19" s="271"/>
      <c r="DS19" s="271"/>
      <c r="DT19" s="271"/>
      <c r="DU19" s="271"/>
      <c r="DV19" s="271"/>
      <c r="DW19" s="271"/>
      <c r="DX19" s="271"/>
      <c r="DY19" s="271"/>
      <c r="DZ19" s="271"/>
      <c r="EA19" s="271"/>
      <c r="EB19" s="271"/>
      <c r="EC19" s="271"/>
      <c r="ED19" s="271"/>
      <c r="EE19" s="271"/>
      <c r="EF19" s="271"/>
      <c r="EG19" s="271"/>
      <c r="EH19" s="271"/>
      <c r="EI19" s="271"/>
      <c r="EJ19" s="271"/>
      <c r="EK19" s="271"/>
      <c r="EL19" s="271"/>
      <c r="EM19" s="271"/>
      <c r="EN19" s="271"/>
      <c r="EO19" s="271"/>
    </row>
    <row r="20" spans="1:152" x14ac:dyDescent="0.2">
      <c r="A20" s="273" t="s">
        <v>86</v>
      </c>
      <c r="B20" s="366">
        <v>26.267478430000001</v>
      </c>
      <c r="C20" s="366">
        <v>44.77517864</v>
      </c>
      <c r="D20" s="366">
        <v>38.236878130000008</v>
      </c>
      <c r="E20" s="366">
        <v>30.17321789</v>
      </c>
      <c r="F20" s="366">
        <v>34.141159089999995</v>
      </c>
      <c r="G20" s="366">
        <v>43.39202418</v>
      </c>
      <c r="H20" s="366">
        <v>83.500158200000001</v>
      </c>
      <c r="I20" s="366">
        <v>38.603429649999995</v>
      </c>
      <c r="J20" s="366">
        <v>79.836718510000011</v>
      </c>
      <c r="K20" s="366">
        <v>66.79693481999999</v>
      </c>
      <c r="L20" s="366">
        <v>30.2877969</v>
      </c>
      <c r="M20" s="366">
        <v>44.067945450000003</v>
      </c>
      <c r="N20" s="367">
        <v>49.83652202999999</v>
      </c>
      <c r="O20" s="367">
        <v>73.949438099999995</v>
      </c>
      <c r="P20" s="367">
        <v>-25.490615890000001</v>
      </c>
      <c r="Q20" s="367">
        <v>80.238974409999997</v>
      </c>
      <c r="R20" s="367">
        <v>134.27565681999999</v>
      </c>
      <c r="S20" s="367">
        <v>168.84898071999996</v>
      </c>
      <c r="T20" s="367">
        <v>152.86472892</v>
      </c>
      <c r="U20" s="367">
        <v>146.72763017000003</v>
      </c>
      <c r="V20" s="367">
        <v>174.78742668999999</v>
      </c>
      <c r="W20" s="367">
        <v>178.40239116000004</v>
      </c>
      <c r="X20" s="367">
        <v>168.81788058000001</v>
      </c>
      <c r="Y20" s="367">
        <v>142.60497320000002</v>
      </c>
      <c r="Z20" s="367">
        <v>197.55588049000002</v>
      </c>
      <c r="AA20" s="367">
        <v>186.38758228</v>
      </c>
      <c r="AB20" s="367">
        <v>177.96532901999998</v>
      </c>
      <c r="AC20" s="367">
        <v>121.71686694999998</v>
      </c>
      <c r="AD20" s="367">
        <v>215.75444101000002</v>
      </c>
      <c r="AE20" s="367">
        <v>183.92987112</v>
      </c>
      <c r="AF20" s="367">
        <v>154.74700244000002</v>
      </c>
      <c r="AG20" s="367">
        <v>181.88195504000001</v>
      </c>
      <c r="AH20" s="367">
        <v>56.800229200000004</v>
      </c>
      <c r="AI20" s="367">
        <v>98.975817590000005</v>
      </c>
      <c r="AJ20" s="367">
        <v>172.49866500000002</v>
      </c>
      <c r="AK20" s="367">
        <v>236.10920634000001</v>
      </c>
      <c r="AL20" s="367">
        <v>195.49953970000493</v>
      </c>
      <c r="AM20" s="367">
        <v>203.65757635999998</v>
      </c>
      <c r="AN20" s="367">
        <v>240.41605443000003</v>
      </c>
      <c r="AO20" s="367">
        <v>205.00584963999998</v>
      </c>
      <c r="AP20" s="367">
        <v>229.81335312000002</v>
      </c>
      <c r="AQ20" s="367">
        <v>243.26438944999998</v>
      </c>
      <c r="AR20" s="367">
        <v>269.15386191000005</v>
      </c>
      <c r="AS20" s="367">
        <v>228.52739556000003</v>
      </c>
      <c r="AT20" s="409">
        <v>224.33694528000007</v>
      </c>
      <c r="AU20" s="409">
        <v>249.62406164000004</v>
      </c>
      <c r="AV20" s="409">
        <v>235.90750973999997</v>
      </c>
      <c r="AW20" s="409">
        <v>249.13340804999999</v>
      </c>
      <c r="AX20" s="409">
        <v>227.89816841000004</v>
      </c>
      <c r="AY20" s="409">
        <v>276.92451109999996</v>
      </c>
      <c r="AZ20" s="409">
        <v>254.37062368999997</v>
      </c>
      <c r="BA20" s="409">
        <v>286.35663617999995</v>
      </c>
      <c r="BB20" s="409">
        <v>344.72487586999995</v>
      </c>
      <c r="BC20" s="409">
        <v>335.96855066000001</v>
      </c>
      <c r="BD20" s="409">
        <v>315.04760118000002</v>
      </c>
      <c r="BE20" s="409">
        <v>326.73890926000007</v>
      </c>
      <c r="BF20" s="409">
        <v>245.68302370999999</v>
      </c>
      <c r="BG20" s="409">
        <v>269.3449103800001</v>
      </c>
      <c r="BH20" s="409">
        <v>269.63524666000001</v>
      </c>
      <c r="BI20" s="409">
        <v>315.07080330999997</v>
      </c>
      <c r="BJ20" s="409">
        <v>333.70061885999996</v>
      </c>
      <c r="BK20" s="409">
        <v>219.81828419999999</v>
      </c>
      <c r="BL20" s="409">
        <v>380.22900338999995</v>
      </c>
      <c r="BM20" s="409">
        <v>328.11379796000006</v>
      </c>
      <c r="BN20" s="409">
        <v>330.31627604000005</v>
      </c>
      <c r="BO20" s="409">
        <v>388.4332354099999</v>
      </c>
      <c r="BP20" s="409">
        <v>411.39994410000003</v>
      </c>
      <c r="BQ20" s="409">
        <v>472.93873040999995</v>
      </c>
      <c r="BR20" s="409">
        <v>391.05903194999996</v>
      </c>
      <c r="BS20" s="409">
        <v>430.48312501999993</v>
      </c>
      <c r="BT20" s="409">
        <v>408.06947301000002</v>
      </c>
      <c r="BU20" s="409">
        <v>378.07710987000007</v>
      </c>
      <c r="BV20" s="409">
        <v>537.71127543</v>
      </c>
      <c r="BW20" s="409">
        <v>384.95022827000003</v>
      </c>
      <c r="BX20" s="410">
        <v>4841.7812308599996</v>
      </c>
      <c r="BY20" s="283"/>
      <c r="BZ20" s="285"/>
      <c r="CA20" s="283"/>
      <c r="CB20" s="283"/>
      <c r="CC20" s="283"/>
      <c r="CD20" s="283"/>
      <c r="CE20" s="283"/>
      <c r="CF20" s="283"/>
      <c r="CG20" s="283"/>
      <c r="CH20" s="283"/>
      <c r="CI20" s="283"/>
      <c r="CJ20" s="283"/>
      <c r="CK20" s="283"/>
      <c r="CL20" s="283"/>
      <c r="CM20" s="283"/>
      <c r="CN20" s="283"/>
      <c r="CO20" s="283"/>
      <c r="CP20" s="283"/>
      <c r="CQ20" s="283"/>
      <c r="CR20" s="363"/>
      <c r="CS20" s="363"/>
      <c r="CT20" s="368"/>
      <c r="CU20" s="368"/>
      <c r="CV20" s="368"/>
      <c r="CW20" s="368"/>
      <c r="CX20" s="283"/>
      <c r="CY20" s="283"/>
      <c r="CZ20" s="369"/>
      <c r="DA20" s="283"/>
      <c r="DB20" s="283"/>
      <c r="DC20" s="283"/>
      <c r="DD20" s="283"/>
      <c r="DE20" s="283"/>
      <c r="DF20" s="283"/>
      <c r="DG20" s="283"/>
      <c r="DH20" s="283"/>
      <c r="DI20" s="283"/>
      <c r="DJ20" s="283"/>
      <c r="DK20" s="283"/>
      <c r="DL20" s="283"/>
      <c r="DM20" s="271"/>
      <c r="DN20" s="271"/>
      <c r="DO20" s="271"/>
      <c r="DP20" s="271"/>
      <c r="DQ20" s="271"/>
      <c r="DR20" s="271"/>
      <c r="DS20" s="271"/>
      <c r="DT20" s="271"/>
      <c r="DU20" s="271"/>
      <c r="DV20" s="271"/>
      <c r="DW20" s="271"/>
      <c r="DX20" s="271"/>
      <c r="DY20" s="271"/>
      <c r="DZ20" s="271"/>
      <c r="EA20" s="271"/>
      <c r="EB20" s="271"/>
      <c r="EC20" s="271"/>
      <c r="ED20" s="271"/>
      <c r="EE20" s="271"/>
      <c r="EF20" s="271"/>
      <c r="EG20" s="271"/>
      <c r="EH20" s="271"/>
      <c r="EI20" s="271"/>
      <c r="EJ20" s="271"/>
      <c r="EK20" s="271"/>
      <c r="EL20" s="271"/>
      <c r="EM20" s="271"/>
      <c r="EN20" s="271"/>
      <c r="EO20" s="271"/>
    </row>
    <row r="21" spans="1:152" x14ac:dyDescent="0.2">
      <c r="A21" s="271"/>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271"/>
      <c r="BA21" s="271"/>
      <c r="BB21" s="271"/>
      <c r="BC21" s="271"/>
      <c r="BD21" s="271"/>
      <c r="BE21" s="271"/>
      <c r="BF21" s="271"/>
      <c r="BG21" s="271"/>
      <c r="BH21" s="271"/>
      <c r="BI21" s="271"/>
      <c r="BJ21" s="271"/>
      <c r="BK21" s="271"/>
      <c r="BL21" s="271"/>
      <c r="BM21" s="271"/>
      <c r="BN21" s="271"/>
      <c r="BO21" s="271"/>
      <c r="BP21" s="271"/>
      <c r="BQ21" s="271"/>
      <c r="BR21" s="271"/>
      <c r="BS21" s="271"/>
      <c r="BT21" s="271"/>
      <c r="BU21" s="271"/>
      <c r="BV21" s="271"/>
      <c r="BW21" s="271"/>
      <c r="BX21" s="271"/>
      <c r="BY21" s="271"/>
      <c r="BZ21" s="271"/>
      <c r="CA21" s="271"/>
      <c r="CB21" s="271"/>
      <c r="CC21" s="271"/>
      <c r="CD21" s="271"/>
      <c r="CE21" s="271"/>
      <c r="CF21" s="271"/>
      <c r="CG21" s="271"/>
      <c r="CH21" s="271"/>
      <c r="CI21" s="271"/>
      <c r="CJ21" s="271"/>
      <c r="CK21" s="271"/>
      <c r="CL21" s="271"/>
      <c r="CM21" s="271"/>
      <c r="CN21" s="271"/>
      <c r="CO21" s="271"/>
      <c r="CP21" s="271"/>
      <c r="CQ21" s="271"/>
      <c r="CR21" s="271"/>
      <c r="CS21" s="271"/>
      <c r="CT21" s="271"/>
      <c r="CU21" s="271"/>
      <c r="CV21" s="271"/>
      <c r="CW21" s="271"/>
      <c r="CX21" s="271"/>
      <c r="CY21" s="271"/>
      <c r="CZ21" s="271"/>
      <c r="DA21" s="271"/>
      <c r="DB21" s="271"/>
      <c r="DC21" s="271"/>
      <c r="DD21" s="271"/>
      <c r="DE21" s="271"/>
      <c r="DF21" s="271"/>
      <c r="DG21" s="271"/>
      <c r="DH21" s="271"/>
      <c r="DI21" s="271"/>
      <c r="DJ21" s="271"/>
      <c r="DK21" s="271"/>
      <c r="DL21" s="271"/>
      <c r="DM21" s="271"/>
      <c r="DN21" s="271"/>
      <c r="DO21" s="271"/>
      <c r="DP21" s="271"/>
      <c r="DQ21" s="271"/>
      <c r="DR21" s="271"/>
      <c r="DS21" s="271"/>
      <c r="DT21" s="271"/>
      <c r="DU21" s="271"/>
      <c r="DV21" s="271"/>
      <c r="DW21" s="271"/>
      <c r="DX21" s="271"/>
      <c r="DY21" s="271"/>
      <c r="DZ21" s="271"/>
      <c r="EA21" s="271"/>
      <c r="EB21" s="271"/>
      <c r="EC21" s="271"/>
      <c r="ED21" s="271"/>
      <c r="EE21" s="271"/>
      <c r="EF21" s="271"/>
      <c r="EG21" s="271"/>
      <c r="EH21" s="271"/>
      <c r="EI21" s="271"/>
      <c r="EJ21" s="283"/>
      <c r="EK21" s="283"/>
      <c r="EL21" s="429"/>
      <c r="EM21" s="429"/>
      <c r="EN21" s="429"/>
      <c r="EO21" s="429"/>
    </row>
    <row r="22" spans="1:152" x14ac:dyDescent="0.2">
      <c r="A22" s="272" t="s">
        <v>216</v>
      </c>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1"/>
      <c r="AN22" s="271"/>
      <c r="AO22" s="271"/>
      <c r="AP22" s="271"/>
      <c r="AQ22" s="271"/>
      <c r="AR22" s="271"/>
      <c r="AS22" s="271"/>
      <c r="AT22" s="271"/>
      <c r="AU22" s="271"/>
      <c r="AV22" s="271"/>
      <c r="AW22" s="271"/>
      <c r="AX22" s="271"/>
      <c r="AY22" s="271"/>
      <c r="AZ22" s="271"/>
      <c r="BA22" s="271"/>
      <c r="BB22" s="271"/>
      <c r="BC22" s="271"/>
      <c r="BD22" s="271"/>
      <c r="BE22" s="271"/>
      <c r="BF22" s="271"/>
      <c r="BG22" s="271"/>
      <c r="BH22" s="271"/>
      <c r="BI22" s="271"/>
      <c r="BJ22" s="271"/>
      <c r="BK22" s="271"/>
      <c r="BL22" s="271"/>
      <c r="BM22" s="271"/>
      <c r="BN22" s="271"/>
      <c r="BO22" s="271"/>
      <c r="BP22" s="271"/>
      <c r="BQ22" s="271"/>
      <c r="BR22" s="271"/>
      <c r="BS22" s="271"/>
      <c r="BT22" s="271"/>
      <c r="BU22" s="271"/>
      <c r="BV22" s="271"/>
      <c r="BW22" s="271"/>
      <c r="BX22" s="327"/>
      <c r="BY22" s="271"/>
      <c r="BZ22" s="271"/>
      <c r="CA22" s="271"/>
      <c r="CB22" s="271"/>
      <c r="CC22" s="271"/>
      <c r="CD22" s="271"/>
      <c r="CE22" s="271"/>
      <c r="CF22" s="271"/>
      <c r="CG22" s="271"/>
      <c r="CH22" s="271"/>
      <c r="CI22" s="271"/>
      <c r="CJ22" s="271"/>
      <c r="CK22" s="271"/>
      <c r="CL22" s="271"/>
      <c r="CM22" s="271"/>
      <c r="CN22" s="271"/>
      <c r="CO22" s="271"/>
      <c r="CP22" s="271"/>
      <c r="CQ22" s="271"/>
      <c r="CR22" s="271"/>
      <c r="CS22" s="271"/>
      <c r="CT22" s="271"/>
      <c r="CU22" s="271"/>
      <c r="CV22" s="271"/>
      <c r="CW22" s="271"/>
      <c r="CX22" s="271"/>
      <c r="CY22" s="271"/>
      <c r="CZ22" s="271"/>
      <c r="DA22" s="271"/>
      <c r="DB22" s="271"/>
      <c r="DC22" s="271"/>
      <c r="DD22" s="271"/>
      <c r="DE22" s="271"/>
      <c r="DF22" s="271"/>
      <c r="DG22" s="271"/>
      <c r="DH22" s="271"/>
      <c r="DI22" s="271"/>
      <c r="DJ22" s="271"/>
      <c r="DK22" s="271"/>
      <c r="DL22" s="271"/>
      <c r="DM22" s="271"/>
      <c r="DN22" s="271"/>
      <c r="DO22" s="271"/>
      <c r="DP22" s="271"/>
      <c r="DQ22" s="271"/>
      <c r="DR22" s="271"/>
      <c r="DS22" s="271"/>
      <c r="DT22" s="271"/>
      <c r="DU22" s="271"/>
      <c r="DV22" s="271"/>
      <c r="DW22" s="271"/>
      <c r="DX22" s="271"/>
      <c r="DY22" s="271"/>
      <c r="DZ22" s="271"/>
      <c r="EA22" s="271"/>
      <c r="EB22" s="271"/>
      <c r="EC22" s="271"/>
      <c r="ED22" s="271"/>
      <c r="EE22" s="271"/>
      <c r="EF22" s="271"/>
      <c r="EG22" s="271"/>
      <c r="EH22" s="271"/>
      <c r="EI22" s="271"/>
      <c r="EJ22" s="283"/>
      <c r="EK22" s="283"/>
      <c r="EL22" s="430"/>
      <c r="EM22" s="430"/>
      <c r="EN22" s="430"/>
      <c r="EO22" s="430"/>
    </row>
    <row r="23" spans="1:152" x14ac:dyDescent="0.2">
      <c r="A23" s="273" t="s">
        <v>203</v>
      </c>
      <c r="B23" s="366">
        <v>370.35130499999997</v>
      </c>
      <c r="C23" s="366">
        <v>370.60442999999998</v>
      </c>
      <c r="D23" s="366">
        <v>369.32591100000002</v>
      </c>
      <c r="E23" s="366">
        <v>366.20669600000002</v>
      </c>
      <c r="F23" s="366">
        <v>386.66372999999999</v>
      </c>
      <c r="G23" s="366">
        <v>409.41570899999999</v>
      </c>
      <c r="H23" s="366">
        <v>417.51600300000001</v>
      </c>
      <c r="I23" s="366">
        <v>435.65417400000001</v>
      </c>
      <c r="J23" s="366">
        <v>431.37290200000001</v>
      </c>
      <c r="K23" s="366">
        <v>434.39315000000005</v>
      </c>
      <c r="L23" s="366">
        <v>435.611266</v>
      </c>
      <c r="M23" s="367">
        <v>424.85505599999999</v>
      </c>
      <c r="N23" s="367">
        <v>426.715824</v>
      </c>
      <c r="O23" s="367">
        <v>427.75877299999996</v>
      </c>
      <c r="P23" s="367">
        <v>422.41211099999998</v>
      </c>
      <c r="Q23" s="367">
        <v>417.82541499999996</v>
      </c>
      <c r="R23" s="367">
        <v>418.06234899999998</v>
      </c>
      <c r="S23" s="367">
        <v>438.94483500000001</v>
      </c>
      <c r="T23" s="367">
        <v>464.04618499999998</v>
      </c>
      <c r="U23" s="367">
        <v>515.93730699999992</v>
      </c>
      <c r="V23" s="367">
        <v>581.77097900000001</v>
      </c>
      <c r="W23" s="367">
        <v>640.47687699999994</v>
      </c>
      <c r="X23" s="367">
        <v>722.26401399999997</v>
      </c>
      <c r="Y23" s="367">
        <v>747.58729099999994</v>
      </c>
      <c r="Z23" s="367">
        <v>811.81025499999998</v>
      </c>
      <c r="AA23" s="367">
        <v>866.57671300000004</v>
      </c>
      <c r="AB23" s="367">
        <v>919.69724800000006</v>
      </c>
      <c r="AC23" s="367">
        <v>976.21967500000005</v>
      </c>
      <c r="AD23" s="367">
        <v>1021.163325</v>
      </c>
      <c r="AE23" s="367">
        <v>1062.5356750000001</v>
      </c>
      <c r="AF23" s="367">
        <v>1083.5905889999999</v>
      </c>
      <c r="AG23" s="367">
        <v>1068.7801910000001</v>
      </c>
      <c r="AH23" s="367">
        <v>1028.700826</v>
      </c>
      <c r="AI23" s="367">
        <v>969.34107299999994</v>
      </c>
      <c r="AJ23" s="367">
        <v>927.87533600000006</v>
      </c>
      <c r="AK23" s="367">
        <v>864.61790300000007</v>
      </c>
      <c r="AL23" s="367">
        <v>857.47368400000005</v>
      </c>
      <c r="AM23" s="367">
        <v>854.856855</v>
      </c>
      <c r="AN23" s="367">
        <v>862.83239500000002</v>
      </c>
      <c r="AO23" s="367">
        <v>863.99526500000002</v>
      </c>
      <c r="AP23" s="367">
        <v>846.95341899999994</v>
      </c>
      <c r="AQ23" s="367">
        <v>850.47390700000005</v>
      </c>
      <c r="AR23" s="367">
        <v>855.61013000000003</v>
      </c>
      <c r="AS23" s="367">
        <v>888.00806499999999</v>
      </c>
      <c r="AT23" s="408">
        <v>942.67739199999994</v>
      </c>
      <c r="AU23" s="408">
        <v>998.69225100000006</v>
      </c>
      <c r="AV23" s="408">
        <v>1019.8495529999999</v>
      </c>
      <c r="AW23" s="408">
        <v>971.18968700000005</v>
      </c>
      <c r="AX23" s="408">
        <v>967.64806199999998</v>
      </c>
      <c r="AY23" s="408">
        <v>966.41943100000003</v>
      </c>
      <c r="AZ23" s="408">
        <v>972.89654700000006</v>
      </c>
      <c r="BA23" s="408">
        <v>984.61491599999999</v>
      </c>
      <c r="BB23" s="408">
        <v>986.803674</v>
      </c>
      <c r="BC23" s="408">
        <v>1023.921336</v>
      </c>
      <c r="BD23" s="408">
        <v>1033.0462029999999</v>
      </c>
      <c r="BE23" s="408">
        <v>1023.275445</v>
      </c>
      <c r="BF23" s="408">
        <v>1018.312547</v>
      </c>
      <c r="BG23" s="408">
        <v>1015.6307439999999</v>
      </c>
      <c r="BH23" s="408">
        <v>1038.246672</v>
      </c>
      <c r="BI23" s="408">
        <v>1027.3431250000001</v>
      </c>
      <c r="BJ23" s="408">
        <v>1001.7547929999999</v>
      </c>
      <c r="BK23" s="408">
        <v>994.07779400000004</v>
      </c>
      <c r="BL23" s="408">
        <v>985.077946</v>
      </c>
      <c r="BM23" s="408">
        <v>982.28008799999998</v>
      </c>
      <c r="BN23" s="408">
        <v>956.10723899999994</v>
      </c>
      <c r="BO23" s="408">
        <v>977.53084899999999</v>
      </c>
      <c r="BP23" s="408">
        <v>975.35962699999993</v>
      </c>
      <c r="BQ23" s="408">
        <v>984.01046400000007</v>
      </c>
      <c r="BR23" s="408">
        <v>1012.684168</v>
      </c>
      <c r="BS23" s="408">
        <v>1018.9805779999999</v>
      </c>
      <c r="BT23" s="408">
        <v>1030.2289740000001</v>
      </c>
      <c r="BU23" s="408">
        <v>1038.3634379999999</v>
      </c>
      <c r="BV23" s="408">
        <v>1028.6240520000001</v>
      </c>
      <c r="BW23" s="408">
        <v>1043.763355</v>
      </c>
      <c r="BX23" s="271"/>
      <c r="BY23" s="271"/>
      <c r="BZ23" s="271"/>
      <c r="CA23" s="271"/>
      <c r="CB23" s="271"/>
      <c r="CC23" s="271"/>
      <c r="CD23" s="271"/>
      <c r="CE23" s="271"/>
      <c r="CF23" s="271"/>
      <c r="CG23" s="271"/>
      <c r="CH23" s="271"/>
      <c r="CI23" s="271"/>
      <c r="CJ23" s="271"/>
      <c r="CK23" s="271"/>
      <c r="CL23" s="271"/>
      <c r="CM23" s="271"/>
      <c r="CN23" s="271"/>
      <c r="CO23" s="271"/>
      <c r="CP23" s="271"/>
      <c r="CQ23" s="324"/>
      <c r="CR23" s="271"/>
      <c r="CS23" s="325"/>
      <c r="CT23" s="271"/>
      <c r="CU23" s="271"/>
      <c r="CV23" s="271"/>
      <c r="CW23" s="273"/>
      <c r="CX23" s="271"/>
      <c r="CY23" s="326"/>
      <c r="CZ23" s="273"/>
      <c r="DA23" s="271"/>
      <c r="DB23" s="271"/>
      <c r="DC23" s="271"/>
      <c r="DD23" s="271"/>
      <c r="DE23" s="271"/>
      <c r="DF23" s="271"/>
      <c r="DG23" s="271"/>
      <c r="DH23" s="271"/>
      <c r="DI23" s="271"/>
      <c r="DJ23" s="271"/>
      <c r="DK23" s="271"/>
      <c r="DL23" s="271"/>
      <c r="DM23" s="271"/>
      <c r="DN23" s="271"/>
      <c r="DO23" s="271"/>
      <c r="DP23" s="271"/>
      <c r="DQ23" s="271"/>
      <c r="DR23" s="271"/>
      <c r="DS23" s="271"/>
      <c r="DT23" s="271"/>
      <c r="DU23" s="271"/>
      <c r="DV23" s="271"/>
      <c r="DW23" s="377"/>
      <c r="DX23" s="382"/>
      <c r="DY23" s="271"/>
      <c r="DZ23" s="273"/>
      <c r="EA23" s="271"/>
      <c r="EB23" s="326"/>
      <c r="EC23" s="273"/>
      <c r="ED23" s="271"/>
      <c r="EE23" s="271"/>
      <c r="EF23" s="271"/>
      <c r="EG23" s="271"/>
      <c r="EH23" s="271"/>
      <c r="EI23" s="271"/>
      <c r="EJ23" s="283"/>
      <c r="EK23" s="412"/>
      <c r="EL23" s="283"/>
      <c r="EM23" s="283"/>
      <c r="EN23" s="283"/>
      <c r="EO23" s="283"/>
    </row>
    <row r="24" spans="1:152" x14ac:dyDescent="0.2">
      <c r="A24" s="273" t="s">
        <v>204</v>
      </c>
      <c r="B24" s="366">
        <v>-116.34093549000001</v>
      </c>
      <c r="C24" s="366">
        <v>-115.46387869</v>
      </c>
      <c r="D24" s="366">
        <v>-156.87980205999997</v>
      </c>
      <c r="E24" s="366">
        <v>-178.12350195000002</v>
      </c>
      <c r="F24" s="366">
        <v>-78.34048473</v>
      </c>
      <c r="G24" s="366">
        <v>-119.19265879</v>
      </c>
      <c r="H24" s="366">
        <v>-176.46624496000001</v>
      </c>
      <c r="I24" s="366">
        <v>-132.57169032000002</v>
      </c>
      <c r="J24" s="366">
        <v>-202.21889605999999</v>
      </c>
      <c r="K24" s="366">
        <v>-221.41438208999998</v>
      </c>
      <c r="L24" s="366">
        <v>-231.70526524000002</v>
      </c>
      <c r="M24" s="367">
        <v>-231.50945668</v>
      </c>
      <c r="N24" s="367">
        <v>-219.44086997000002</v>
      </c>
      <c r="O24" s="367">
        <v>-234.28368321000008</v>
      </c>
      <c r="P24" s="367">
        <v>-220.89778038</v>
      </c>
      <c r="Q24" s="367">
        <v>-184.22967098999999</v>
      </c>
      <c r="R24" s="367">
        <v>-91.801547749999997</v>
      </c>
      <c r="S24" s="367">
        <v>66.288350310000055</v>
      </c>
      <c r="T24" s="367">
        <v>187.82088710000005</v>
      </c>
      <c r="U24" s="367">
        <v>352.13410580999999</v>
      </c>
      <c r="V24" s="367">
        <v>583.09062368999992</v>
      </c>
      <c r="W24" s="367">
        <v>793.31086387999994</v>
      </c>
      <c r="X24" s="367">
        <v>981.90841535000004</v>
      </c>
      <c r="Y24" s="367">
        <v>1170.0570025899999</v>
      </c>
      <c r="Z24" s="367">
        <v>1337.38307121</v>
      </c>
      <c r="AA24" s="367">
        <v>1442.18716918</v>
      </c>
      <c r="AB24" s="367">
        <v>1551.2099535399996</v>
      </c>
      <c r="AC24" s="367">
        <v>1600.31142389</v>
      </c>
      <c r="AD24" s="367">
        <v>1534.9551059099999</v>
      </c>
      <c r="AE24" s="367">
        <v>1491.74911163</v>
      </c>
      <c r="AF24" s="367">
        <v>1481.46015822</v>
      </c>
      <c r="AG24" s="367">
        <v>1355.5518416699997</v>
      </c>
      <c r="AH24" s="367">
        <v>1204.0865746699999</v>
      </c>
      <c r="AI24" s="367">
        <v>1030.4834750699997</v>
      </c>
      <c r="AJ24" s="367">
        <v>868.4207916900001</v>
      </c>
      <c r="AK24" s="367">
        <v>832.75636194000003</v>
      </c>
      <c r="AL24" s="367">
        <v>792.99784243999989</v>
      </c>
      <c r="AM24" s="367">
        <v>785.43802960999983</v>
      </c>
      <c r="AN24" s="367">
        <v>811.88166775000002</v>
      </c>
      <c r="AO24" s="367">
        <v>858.90515241000014</v>
      </c>
      <c r="AP24" s="367">
        <v>829.01719350000008</v>
      </c>
      <c r="AQ24" s="367">
        <v>836.23665498999992</v>
      </c>
      <c r="AR24" s="367">
        <v>909.79246155999999</v>
      </c>
      <c r="AS24" s="367">
        <v>1005.91680374</v>
      </c>
      <c r="AT24" s="408">
        <v>1103.8132834099999</v>
      </c>
      <c r="AU24" s="408">
        <v>1156.4032891399997</v>
      </c>
      <c r="AV24" s="408">
        <v>1170.6154654300001</v>
      </c>
      <c r="AW24" s="408">
        <v>1166.7869884699999</v>
      </c>
      <c r="AX24" s="408">
        <v>1184.1383247700001</v>
      </c>
      <c r="AY24" s="408">
        <v>1199.7534999</v>
      </c>
      <c r="AZ24" s="408">
        <v>1228.1515057099998</v>
      </c>
      <c r="BA24" s="408">
        <v>1285.9695891599997</v>
      </c>
      <c r="BB24" s="408">
        <v>1349.50024108</v>
      </c>
      <c r="BC24" s="408">
        <v>1437.00096248</v>
      </c>
      <c r="BD24" s="408">
        <v>1457.5610477299999</v>
      </c>
      <c r="BE24" s="408">
        <v>1535.8827732500001</v>
      </c>
      <c r="BF24" s="408">
        <v>1631.5790660100001</v>
      </c>
      <c r="BG24" s="408">
        <v>1633.7059862999999</v>
      </c>
      <c r="BH24" s="408">
        <v>1670.8190072899999</v>
      </c>
      <c r="BI24" s="408">
        <v>1683.4629213299997</v>
      </c>
      <c r="BJ24" s="408">
        <v>1716.4503910299998</v>
      </c>
      <c r="BK24" s="408">
        <v>1702.1014510999996</v>
      </c>
      <c r="BL24" s="408">
        <v>1696.2916636099997</v>
      </c>
      <c r="BM24" s="408">
        <v>1663.79782578</v>
      </c>
      <c r="BN24" s="408">
        <v>1567.7642623299998</v>
      </c>
      <c r="BO24" s="408">
        <v>1512.0719311599998</v>
      </c>
      <c r="BP24" s="408">
        <v>1477.4527748199998</v>
      </c>
      <c r="BQ24" s="408">
        <v>1456.50652414</v>
      </c>
      <c r="BR24" s="408">
        <v>1503.5175870399999</v>
      </c>
      <c r="BS24" s="408">
        <v>1500.45250693</v>
      </c>
      <c r="BT24" s="408">
        <v>1549.1497333600003</v>
      </c>
      <c r="BU24" s="408">
        <v>1559.7838679899996</v>
      </c>
      <c r="BV24" s="408">
        <v>1584.1149829099995</v>
      </c>
      <c r="BW24" s="408">
        <v>1635.0962336299997</v>
      </c>
      <c r="BX24" s="271"/>
      <c r="BY24" s="271"/>
      <c r="BZ24" s="271"/>
      <c r="CA24" s="271"/>
      <c r="CB24" s="271"/>
      <c r="CC24" s="271"/>
      <c r="CD24" s="271"/>
      <c r="CE24" s="271"/>
      <c r="CF24" s="271"/>
      <c r="CG24" s="271"/>
      <c r="CH24" s="271"/>
      <c r="CI24" s="271"/>
      <c r="CJ24" s="271"/>
      <c r="CK24" s="271"/>
      <c r="CL24" s="271"/>
      <c r="CM24" s="271"/>
      <c r="CN24" s="271"/>
      <c r="CO24" s="271"/>
      <c r="CP24" s="271"/>
      <c r="CQ24" s="324"/>
      <c r="CR24" s="271"/>
      <c r="CS24" s="325"/>
      <c r="CT24" s="271"/>
      <c r="CU24" s="271"/>
      <c r="CV24" s="271"/>
      <c r="CW24" s="273"/>
      <c r="CX24" s="271"/>
      <c r="CY24" s="326"/>
      <c r="CZ24" s="273"/>
      <c r="DA24" s="271"/>
      <c r="DB24" s="271"/>
      <c r="DC24" s="271"/>
      <c r="DD24" s="271"/>
      <c r="DE24" s="271"/>
      <c r="DF24" s="271"/>
      <c r="DG24" s="271"/>
      <c r="DH24" s="271"/>
      <c r="DI24" s="271"/>
      <c r="DJ24" s="271"/>
      <c r="DK24" s="271"/>
      <c r="DL24" s="271"/>
      <c r="DM24" s="271"/>
      <c r="DN24" s="271"/>
      <c r="DO24" s="271"/>
      <c r="DP24" s="271"/>
      <c r="DQ24" s="271"/>
      <c r="DR24" s="271"/>
      <c r="DS24" s="271"/>
      <c r="DT24" s="271"/>
      <c r="DU24" s="271"/>
      <c r="DV24" s="271"/>
      <c r="DW24" s="377"/>
      <c r="DX24" s="382"/>
      <c r="DY24" s="271"/>
      <c r="DZ24" s="273"/>
      <c r="EA24" s="271"/>
      <c r="EB24" s="326"/>
      <c r="EC24" s="273"/>
      <c r="ED24" s="271"/>
      <c r="EE24" s="271"/>
      <c r="EF24" s="271"/>
      <c r="EG24" s="271"/>
      <c r="EH24" s="271"/>
      <c r="EI24" s="271"/>
      <c r="EJ24" s="271"/>
      <c r="EK24" s="271"/>
      <c r="EL24" s="271"/>
      <c r="EM24" s="271"/>
      <c r="EN24" s="271"/>
      <c r="EO24" s="271"/>
    </row>
    <row r="25" spans="1:152" x14ac:dyDescent="0.2">
      <c r="A25" s="273" t="s">
        <v>86</v>
      </c>
      <c r="B25" s="370">
        <v>335.47635163000001</v>
      </c>
      <c r="C25" s="370">
        <v>329.79497639000004</v>
      </c>
      <c r="D25" s="370">
        <v>322.25415233000001</v>
      </c>
      <c r="E25" s="370">
        <v>314.18917206999998</v>
      </c>
      <c r="F25" s="370">
        <v>382.81192427000002</v>
      </c>
      <c r="G25" s="370">
        <v>407.44716318999997</v>
      </c>
      <c r="H25" s="370">
        <v>399.38352215999998</v>
      </c>
      <c r="I25" s="370">
        <v>433.33377007000001</v>
      </c>
      <c r="J25" s="370">
        <v>425.40587728000003</v>
      </c>
      <c r="K25" s="370">
        <v>479.90600789000013</v>
      </c>
      <c r="L25" s="370">
        <v>522.94078075000004</v>
      </c>
      <c r="M25" s="371">
        <v>526.96109922000005</v>
      </c>
      <c r="N25" s="371">
        <v>526.25386603000004</v>
      </c>
      <c r="O25" s="371">
        <v>537.85350993000009</v>
      </c>
      <c r="P25" s="371">
        <v>581.62973014000022</v>
      </c>
      <c r="Q25" s="371">
        <v>521.99795516000006</v>
      </c>
      <c r="R25" s="371">
        <v>565.01932636000015</v>
      </c>
      <c r="S25" s="371">
        <v>655.90295900000012</v>
      </c>
      <c r="T25" s="371">
        <v>741.25178152000001</v>
      </c>
      <c r="U25" s="371">
        <v>855.51308079</v>
      </c>
      <c r="V25" s="371">
        <v>922.40399244999981</v>
      </c>
      <c r="W25" s="371">
        <v>1030.3944843199997</v>
      </c>
      <c r="X25" s="371">
        <v>1178.5090785799998</v>
      </c>
      <c r="Y25" s="371">
        <v>1303.2590137100001</v>
      </c>
      <c r="Z25" s="371">
        <v>1396.0274648799998</v>
      </c>
      <c r="AA25" s="371">
        <v>1519.6339072699998</v>
      </c>
      <c r="AB25" s="371">
        <v>1731.5121054399999</v>
      </c>
      <c r="AC25" s="371">
        <v>1829.2384600499997</v>
      </c>
      <c r="AD25" s="371">
        <v>1816.6796701799999</v>
      </c>
      <c r="AE25" s="371">
        <v>1863.5851304699997</v>
      </c>
      <c r="AF25" s="371">
        <v>1894.65027267</v>
      </c>
      <c r="AG25" s="371">
        <v>1902.6696449400001</v>
      </c>
      <c r="AH25" s="371">
        <v>1909.7641732900001</v>
      </c>
      <c r="AI25" s="371">
        <v>1788.1620113299998</v>
      </c>
      <c r="AJ25" s="371">
        <v>1718.3199483399997</v>
      </c>
      <c r="AK25" s="371">
        <v>1748.2136401399998</v>
      </c>
      <c r="AL25" s="371">
        <v>1786.7669659899998</v>
      </c>
      <c r="AM25" s="371">
        <v>1795.878923410005</v>
      </c>
      <c r="AN25" s="371">
        <v>1821.571170750005</v>
      </c>
      <c r="AO25" s="371">
        <v>1940.2703582300051</v>
      </c>
      <c r="AP25" s="371">
        <v>1929.5217668600051</v>
      </c>
      <c r="AQ25" s="371">
        <v>1975.4052488600053</v>
      </c>
      <c r="AR25" s="371">
        <v>2063.9226358700053</v>
      </c>
      <c r="AS25" s="371">
        <v>2151.1945427400051</v>
      </c>
      <c r="AT25" s="411">
        <v>2322.921709100005</v>
      </c>
      <c r="AU25" s="411">
        <v>2448.2828367900047</v>
      </c>
      <c r="AV25" s="411">
        <v>2525.4082334300042</v>
      </c>
      <c r="AW25" s="411">
        <v>2525.2065368300041</v>
      </c>
      <c r="AX25" s="411">
        <v>2578.8404051800003</v>
      </c>
      <c r="AY25" s="411">
        <v>2603.0809972300008</v>
      </c>
      <c r="AZ25" s="411">
        <v>2639.5894539000005</v>
      </c>
      <c r="BA25" s="411">
        <v>2688.9542279500001</v>
      </c>
      <c r="BB25" s="411">
        <v>2745.4975110100004</v>
      </c>
      <c r="BC25" s="411">
        <v>2846.9579974299995</v>
      </c>
      <c r="BD25" s="411">
        <v>2913.7726861799988</v>
      </c>
      <c r="BE25" s="411">
        <v>3000.2928917999993</v>
      </c>
      <c r="BF25" s="411">
        <v>3102.6948557799992</v>
      </c>
      <c r="BG25" s="411">
        <v>3098.7538178499995</v>
      </c>
      <c r="BH25" s="411">
        <v>3132.1912184899988</v>
      </c>
      <c r="BI25" s="411">
        <v>3152.6930571000003</v>
      </c>
      <c r="BJ25" s="411">
        <v>3239.8656919999994</v>
      </c>
      <c r="BK25" s="411">
        <v>3296.6417997599997</v>
      </c>
      <c r="BL25" s="411">
        <v>3262.0894602700005</v>
      </c>
      <c r="BM25" s="411">
        <v>3355.96182748</v>
      </c>
      <c r="BN25" s="411">
        <v>3339.3507495699992</v>
      </c>
      <c r="BO25" s="411">
        <v>3333.6984749499984</v>
      </c>
      <c r="BP25" s="411">
        <v>3407.0841091800003</v>
      </c>
      <c r="BQ25" s="411">
        <v>3491.7451440200007</v>
      </c>
      <c r="BR25" s="411">
        <v>3719.0008507200009</v>
      </c>
      <c r="BS25" s="411">
        <v>3840.7149722899999</v>
      </c>
      <c r="BT25" s="411">
        <v>4001.5628506499988</v>
      </c>
      <c r="BU25" s="411">
        <v>4094.5615203499992</v>
      </c>
      <c r="BV25" s="411">
        <v>4138.9380113599991</v>
      </c>
      <c r="BW25" s="411">
        <v>4456.83100259</v>
      </c>
      <c r="BX25" s="271"/>
      <c r="BY25" s="271"/>
      <c r="BZ25" s="271"/>
      <c r="CA25" s="271"/>
      <c r="CB25" s="271"/>
      <c r="CC25" s="271"/>
      <c r="CD25" s="271"/>
      <c r="CE25" s="271"/>
      <c r="CF25" s="271"/>
      <c r="CG25" s="271"/>
      <c r="CH25" s="271"/>
      <c r="CI25" s="271"/>
      <c r="CJ25" s="271"/>
      <c r="CK25" s="271"/>
      <c r="CL25" s="271"/>
      <c r="CM25" s="271"/>
      <c r="CN25" s="271"/>
      <c r="CO25" s="271"/>
      <c r="CP25" s="271"/>
      <c r="CQ25" s="324"/>
      <c r="CR25" s="271"/>
      <c r="CS25" s="325"/>
      <c r="CT25" s="271"/>
      <c r="CU25" s="271"/>
      <c r="CV25" s="271"/>
      <c r="CW25" s="273"/>
      <c r="CX25" s="271"/>
      <c r="CY25" s="326"/>
      <c r="CZ25" s="273"/>
      <c r="DA25" s="271"/>
      <c r="DB25" s="271"/>
      <c r="DC25" s="271"/>
      <c r="DD25" s="271"/>
      <c r="DE25" s="271"/>
      <c r="DF25" s="271"/>
      <c r="DG25" s="271"/>
      <c r="DH25" s="271"/>
      <c r="DI25" s="271"/>
      <c r="DJ25" s="271"/>
      <c r="DK25" s="271"/>
      <c r="DL25" s="271"/>
      <c r="DM25" s="271"/>
      <c r="DN25" s="271"/>
      <c r="DO25" s="271"/>
      <c r="DP25" s="271"/>
      <c r="DQ25" s="271"/>
      <c r="DR25" s="271"/>
      <c r="DS25" s="271"/>
      <c r="DT25" s="271"/>
      <c r="DU25" s="271"/>
      <c r="DV25" s="271"/>
      <c r="DW25" s="377"/>
      <c r="DX25" s="382"/>
      <c r="DY25" s="271"/>
      <c r="DZ25" s="273"/>
      <c r="EA25" s="271"/>
      <c r="EB25" s="326"/>
      <c r="EC25" s="273"/>
      <c r="ED25" s="271"/>
      <c r="EE25" s="271"/>
      <c r="EF25" s="271"/>
      <c r="EG25" s="271"/>
      <c r="EH25" s="271"/>
      <c r="EI25" s="271"/>
      <c r="EJ25" s="271"/>
      <c r="EK25" s="271"/>
      <c r="EL25" s="271"/>
      <c r="EM25" s="271"/>
      <c r="EN25" s="271"/>
      <c r="EO25" s="271"/>
    </row>
    <row r="26" spans="1:152" x14ac:dyDescent="0.2">
      <c r="A26" s="271"/>
      <c r="B26" s="271"/>
      <c r="C26" s="271"/>
      <c r="D26" s="271"/>
      <c r="E26" s="271"/>
      <c r="F26" s="271"/>
      <c r="G26" s="271"/>
      <c r="H26" s="271"/>
      <c r="I26" s="271"/>
      <c r="J26" s="271"/>
      <c r="K26" s="271"/>
      <c r="L26" s="271"/>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3"/>
      <c r="AT26" s="412"/>
      <c r="AU26" s="412"/>
      <c r="AV26" s="412"/>
      <c r="AW26" s="412"/>
      <c r="AX26" s="412"/>
      <c r="AY26" s="412"/>
      <c r="AZ26" s="412"/>
      <c r="BA26" s="412"/>
      <c r="BB26" s="412"/>
      <c r="BC26" s="412"/>
      <c r="BD26" s="412"/>
      <c r="BE26" s="412"/>
      <c r="BF26" s="412"/>
      <c r="BG26" s="412"/>
      <c r="BH26" s="412"/>
      <c r="BI26" s="412"/>
      <c r="BJ26" s="412"/>
      <c r="BK26" s="412"/>
      <c r="BL26" s="412"/>
      <c r="BM26" s="412"/>
      <c r="BN26" s="412"/>
      <c r="BO26" s="412"/>
      <c r="BP26" s="412"/>
      <c r="BQ26" s="412"/>
      <c r="BR26" s="412"/>
      <c r="BS26" s="412"/>
      <c r="BT26" s="414"/>
      <c r="BU26" s="414"/>
      <c r="BV26" s="446"/>
      <c r="BW26" s="446"/>
      <c r="BX26" s="271"/>
      <c r="BY26" s="271"/>
      <c r="BZ26" s="271"/>
      <c r="CA26" s="271"/>
      <c r="CB26" s="271"/>
      <c r="CC26" s="271"/>
      <c r="CD26" s="271"/>
      <c r="CE26" s="271"/>
      <c r="CF26" s="271"/>
      <c r="CG26" s="271"/>
      <c r="CH26" s="271"/>
      <c r="CI26" s="271"/>
      <c r="CJ26" s="271"/>
      <c r="CK26" s="271"/>
      <c r="CL26" s="271"/>
      <c r="CM26" s="271"/>
      <c r="CN26" s="271"/>
      <c r="CO26" s="271"/>
      <c r="CP26" s="271"/>
      <c r="CQ26" s="324"/>
      <c r="CR26" s="271"/>
      <c r="CS26" s="325"/>
      <c r="CT26" s="271"/>
      <c r="CU26" s="271"/>
      <c r="CV26" s="271"/>
      <c r="CW26" s="273"/>
      <c r="CX26" s="271"/>
      <c r="CY26" s="326"/>
      <c r="CZ26" s="273"/>
      <c r="DA26" s="271"/>
      <c r="DB26" s="271"/>
      <c r="DC26" s="271"/>
      <c r="DD26" s="271"/>
      <c r="DE26" s="271"/>
      <c r="DF26" s="271"/>
      <c r="DG26" s="271"/>
      <c r="DH26" s="271"/>
      <c r="DI26" s="271"/>
      <c r="DJ26" s="271"/>
      <c r="DK26" s="271"/>
      <c r="DL26" s="271"/>
      <c r="DM26" s="271"/>
      <c r="DN26" s="271"/>
      <c r="DO26" s="271"/>
      <c r="DP26" s="271"/>
      <c r="DQ26" s="271"/>
      <c r="DR26" s="271"/>
      <c r="DS26" s="271"/>
      <c r="DT26" s="271"/>
      <c r="DU26" s="271"/>
      <c r="DV26" s="271"/>
      <c r="DW26" s="377"/>
      <c r="DX26" s="382"/>
      <c r="DY26" s="271"/>
      <c r="DZ26" s="273"/>
      <c r="EA26" s="271"/>
      <c r="EB26" s="326"/>
      <c r="EC26" s="273"/>
      <c r="ED26" s="271"/>
      <c r="EE26" s="271"/>
      <c r="EF26" s="271"/>
      <c r="EG26" s="271"/>
      <c r="EH26" s="271"/>
      <c r="EI26" s="271"/>
      <c r="EJ26" s="271"/>
      <c r="EK26" s="271"/>
      <c r="EL26" s="271"/>
      <c r="EM26" s="271"/>
      <c r="EN26" s="271"/>
      <c r="EO26" s="271"/>
    </row>
    <row r="27" spans="1:152" ht="13.5" thickBot="1" x14ac:dyDescent="0.25">
      <c r="A27" s="272" t="s">
        <v>87</v>
      </c>
      <c r="B27" s="372">
        <v>630.93988616000001</v>
      </c>
      <c r="C27" s="372">
        <v>664.5970915800001</v>
      </c>
      <c r="D27" s="372">
        <v>595.26981732000013</v>
      </c>
      <c r="E27" s="372">
        <v>619.78818625999997</v>
      </c>
      <c r="F27" s="372">
        <v>735.15523075999999</v>
      </c>
      <c r="G27" s="373">
        <v>762.97475740999994</v>
      </c>
      <c r="H27" s="373">
        <v>814.50355007999997</v>
      </c>
      <c r="I27" s="373">
        <v>735.20906119999995</v>
      </c>
      <c r="J27" s="373">
        <v>696.80539174</v>
      </c>
      <c r="K27" s="373">
        <v>782.85338728000011</v>
      </c>
      <c r="L27" s="373">
        <v>761.75986355999999</v>
      </c>
      <c r="M27" s="374">
        <v>813.19038394000006</v>
      </c>
      <c r="N27" s="374">
        <v>791.89815577000002</v>
      </c>
      <c r="O27" s="374">
        <v>900.65988089999996</v>
      </c>
      <c r="P27" s="374">
        <v>799.61376039000015</v>
      </c>
      <c r="Q27" s="374">
        <v>904.52500147000001</v>
      </c>
      <c r="R27" s="374">
        <v>1226.4406883200002</v>
      </c>
      <c r="S27" s="374">
        <v>1567.1891235000003</v>
      </c>
      <c r="T27" s="374">
        <v>1722.3773010500001</v>
      </c>
      <c r="U27" s="374">
        <v>2129.5111036600001</v>
      </c>
      <c r="V27" s="374">
        <v>2554.1508366799999</v>
      </c>
      <c r="W27" s="374">
        <v>2917.5945899799999</v>
      </c>
      <c r="X27" s="374">
        <v>3313.7869926999997</v>
      </c>
      <c r="Y27" s="374">
        <v>3603.5901268000002</v>
      </c>
      <c r="Z27" s="374">
        <v>3997.72907063</v>
      </c>
      <c r="AA27" s="374">
        <v>4218.8890066099993</v>
      </c>
      <c r="AB27" s="374">
        <v>4554.7008612399995</v>
      </c>
      <c r="AC27" s="374">
        <v>4707.9586618000003</v>
      </c>
      <c r="AD27" s="374">
        <v>4823.9228962899997</v>
      </c>
      <c r="AE27" s="374">
        <v>4788.9594673199999</v>
      </c>
      <c r="AF27" s="374">
        <v>4732.9282876699999</v>
      </c>
      <c r="AG27" s="374">
        <v>4609.4368154999993</v>
      </c>
      <c r="AH27" s="374">
        <v>4241.39892418</v>
      </c>
      <c r="AI27" s="374">
        <v>3945.7215607999997</v>
      </c>
      <c r="AJ27" s="374">
        <v>3828.2747245800001</v>
      </c>
      <c r="AK27" s="374">
        <v>3889.7467719700003</v>
      </c>
      <c r="AL27" s="374">
        <v>3826.6650251800047</v>
      </c>
      <c r="AM27" s="374">
        <v>3848.5667877600049</v>
      </c>
      <c r="AN27" s="374">
        <v>3965.3598785000049</v>
      </c>
      <c r="AO27" s="374">
        <v>4056.617174560005</v>
      </c>
      <c r="AP27" s="374">
        <v>4033.205361070005</v>
      </c>
      <c r="AQ27" s="374">
        <v>4102.552495210005</v>
      </c>
      <c r="AR27" s="374">
        <v>4327.5545493700056</v>
      </c>
      <c r="AS27" s="374">
        <v>4468.2597347300052</v>
      </c>
      <c r="AT27" s="413">
        <v>4761.1133783300047</v>
      </c>
      <c r="AU27" s="414">
        <v>5029.5319004100047</v>
      </c>
      <c r="AV27" s="414">
        <v>5107.3420791900044</v>
      </c>
      <c r="AW27" s="414">
        <v>5120.0533247000039</v>
      </c>
      <c r="AX27" s="414">
        <v>5181.6469078700011</v>
      </c>
      <c r="AY27" s="414">
        <v>5309.7121516100015</v>
      </c>
      <c r="AZ27" s="414">
        <v>5352.9851320300004</v>
      </c>
      <c r="BA27" s="414">
        <v>5509.5144077999994</v>
      </c>
      <c r="BB27" s="414">
        <v>5748.3169802700004</v>
      </c>
      <c r="BC27" s="414">
        <v>5902.6092588499996</v>
      </c>
      <c r="BD27" s="414">
        <v>5982.5914332999982</v>
      </c>
      <c r="BE27" s="414">
        <v>6144.2874626100001</v>
      </c>
      <c r="BF27" s="414">
        <v>6174.2440716299989</v>
      </c>
      <c r="BG27" s="414">
        <v>6232.72572511</v>
      </c>
      <c r="BH27" s="414">
        <v>6320.3692158299982</v>
      </c>
      <c r="BI27" s="414">
        <v>6409.09099195</v>
      </c>
      <c r="BJ27" s="414">
        <v>6533.2792683399994</v>
      </c>
      <c r="BK27" s="414">
        <v>6455.8066952999998</v>
      </c>
      <c r="BL27" s="414">
        <v>6552.0154159499998</v>
      </c>
      <c r="BM27" s="414">
        <v>6529.7378050799998</v>
      </c>
      <c r="BN27" s="414">
        <v>6418.0302180499984</v>
      </c>
      <c r="BO27" s="414">
        <v>6438.1080073899975</v>
      </c>
      <c r="BP27" s="414">
        <v>6517.0984847199998</v>
      </c>
      <c r="BQ27" s="414">
        <v>6656.860208600001</v>
      </c>
      <c r="BR27" s="414">
        <v>6844.7832341800004</v>
      </c>
      <c r="BS27" s="414">
        <v>7060.0538760599993</v>
      </c>
      <c r="BT27" s="414">
        <v>7238.3007148599991</v>
      </c>
      <c r="BU27" s="414">
        <v>7326.8854385799987</v>
      </c>
      <c r="BV27" s="414">
        <v>7598.6762416599986</v>
      </c>
      <c r="BW27" s="441">
        <v>7727.3478546299993</v>
      </c>
      <c r="BX27" s="271"/>
      <c r="BY27" s="271"/>
      <c r="BZ27" s="271"/>
      <c r="CA27" s="271"/>
      <c r="CB27" s="271"/>
      <c r="CC27" s="271"/>
      <c r="CD27" s="271"/>
      <c r="CE27" s="271"/>
      <c r="CF27" s="271"/>
      <c r="CG27" s="271"/>
      <c r="CH27" s="271"/>
      <c r="CI27" s="271"/>
      <c r="CJ27" s="271"/>
      <c r="CK27" s="271"/>
      <c r="CL27" s="271"/>
      <c r="CM27" s="271"/>
      <c r="CN27" s="271"/>
      <c r="CO27" s="271"/>
      <c r="CP27" s="271"/>
      <c r="CQ27" s="324"/>
      <c r="CR27" s="271"/>
      <c r="CS27" s="325"/>
      <c r="CT27" s="271"/>
      <c r="CU27" s="271"/>
      <c r="CV27" s="271"/>
      <c r="CW27" s="273"/>
      <c r="CX27" s="271"/>
      <c r="CY27" s="326"/>
      <c r="CZ27" s="273"/>
      <c r="DA27" s="271"/>
      <c r="DB27" s="271"/>
      <c r="DC27" s="271"/>
      <c r="DD27" s="271"/>
      <c r="DE27" s="271"/>
      <c r="DF27" s="271"/>
      <c r="DG27" s="271"/>
      <c r="DH27" s="271"/>
      <c r="DI27" s="271"/>
      <c r="DJ27" s="271"/>
      <c r="DK27" s="271"/>
      <c r="DL27" s="271"/>
      <c r="DM27" s="271"/>
      <c r="DN27" s="271"/>
      <c r="DO27" s="271"/>
      <c r="DP27" s="271"/>
      <c r="DQ27" s="271"/>
      <c r="DR27" s="271"/>
      <c r="DS27" s="271"/>
      <c r="DT27" s="271"/>
      <c r="DU27" s="271"/>
      <c r="DV27" s="271"/>
      <c r="DW27" s="377"/>
      <c r="DX27" s="382"/>
      <c r="DY27" s="271"/>
      <c r="DZ27" s="273"/>
      <c r="EA27" s="271"/>
      <c r="EB27" s="326"/>
      <c r="EC27" s="273"/>
      <c r="ED27" s="271"/>
      <c r="EE27" s="271"/>
      <c r="EF27" s="271"/>
      <c r="EG27" s="271"/>
      <c r="EH27" s="271"/>
      <c r="EI27" s="271"/>
      <c r="EJ27" s="271"/>
      <c r="EK27" s="271"/>
      <c r="EL27" s="271"/>
      <c r="EM27" s="271"/>
      <c r="EN27" s="271"/>
      <c r="EO27" s="271"/>
    </row>
    <row r="28" spans="1:152" ht="13.5" thickTop="1" x14ac:dyDescent="0.2">
      <c r="B28" s="165"/>
      <c r="C28" s="165"/>
      <c r="D28" s="165"/>
      <c r="E28" s="165"/>
      <c r="F28" s="165"/>
      <c r="G28" s="165"/>
      <c r="H28" s="165"/>
      <c r="I28" s="165"/>
      <c r="J28" s="165"/>
      <c r="K28" s="165"/>
      <c r="L28" s="165"/>
      <c r="M28" s="165"/>
      <c r="N28" s="165"/>
      <c r="O28" s="165"/>
      <c r="P28" s="165"/>
      <c r="Q28" s="165"/>
      <c r="R28" s="165"/>
      <c r="S28" s="165"/>
      <c r="T28" s="165"/>
      <c r="U28" s="165"/>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237"/>
      <c r="BS28" s="237"/>
      <c r="BT28" s="237"/>
      <c r="BU28" s="237"/>
      <c r="BV28" s="237"/>
      <c r="BW28" s="237"/>
      <c r="CQ28" s="52"/>
      <c r="CS28" s="53"/>
      <c r="CW28" s="19"/>
      <c r="CY28" s="54"/>
      <c r="CZ28" s="19"/>
      <c r="DN28" s="19" t="s">
        <v>217</v>
      </c>
      <c r="DW28" s="55"/>
      <c r="DX28" s="56"/>
      <c r="DZ28" s="19"/>
      <c r="EB28" s="54"/>
      <c r="EC28" s="19"/>
    </row>
    <row r="29" spans="1:152" x14ac:dyDescent="0.2">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264"/>
      <c r="BL29" s="264"/>
      <c r="BM29" s="264"/>
      <c r="BN29" s="264"/>
      <c r="BO29" s="264"/>
      <c r="BP29" s="165"/>
      <c r="BQ29" s="165"/>
      <c r="BR29" s="165"/>
      <c r="BS29" s="165"/>
      <c r="BT29" s="165"/>
      <c r="BU29" s="165"/>
      <c r="BV29" s="165"/>
      <c r="BW29" s="165"/>
    </row>
    <row r="30" spans="1:152" x14ac:dyDescent="0.2">
      <c r="B30" s="265">
        <v>2010</v>
      </c>
      <c r="C30" s="265">
        <v>2011</v>
      </c>
      <c r="D30" s="265">
        <v>2012</v>
      </c>
      <c r="E30" s="265">
        <v>2013</v>
      </c>
      <c r="G30" s="265">
        <v>2010</v>
      </c>
      <c r="H30" s="265">
        <v>2011</v>
      </c>
      <c r="I30" s="265">
        <v>2012</v>
      </c>
      <c r="J30" s="265">
        <v>2013</v>
      </c>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5"/>
      <c r="BI30" s="165"/>
      <c r="BJ30" s="165"/>
      <c r="BO30" s="264"/>
      <c r="BP30" s="165"/>
      <c r="BQ30" s="165"/>
      <c r="BR30" s="165"/>
      <c r="BS30" s="165"/>
      <c r="BT30" s="165"/>
      <c r="BU30" s="165"/>
      <c r="BV30" s="165"/>
      <c r="BW30" s="165"/>
    </row>
    <row r="31" spans="1:152" x14ac:dyDescent="0.2">
      <c r="A31" s="198" t="s">
        <v>84</v>
      </c>
      <c r="B31" s="266">
        <f>SUM(AB5:AM5)</f>
        <v>959669.52499999991</v>
      </c>
      <c r="C31" s="266">
        <f>SUM(AN5:AY5)</f>
        <v>1082963.6090000002</v>
      </c>
      <c r="D31" s="266">
        <f>SUM(AZ5:BK5)</f>
        <v>1090981.73</v>
      </c>
      <c r="E31" s="266">
        <f>SUM(BL5:BW5)</f>
        <v>1132615.2849999999</v>
      </c>
      <c r="F31" s="198" t="s">
        <v>84</v>
      </c>
      <c r="G31" s="20">
        <f t="shared" ref="G31:J33" si="0">B31/1000</f>
        <v>959.66952499999991</v>
      </c>
      <c r="H31" s="20">
        <f t="shared" si="0"/>
        <v>1082.9636090000001</v>
      </c>
      <c r="I31" s="20">
        <f t="shared" si="0"/>
        <v>1090.98173</v>
      </c>
      <c r="J31" s="20">
        <f t="shared" si="0"/>
        <v>1132.6152849999999</v>
      </c>
    </row>
    <row r="32" spans="1:152" ht="15" x14ac:dyDescent="0.25">
      <c r="A32" s="207" t="s">
        <v>85</v>
      </c>
      <c r="B32" s="266">
        <f t="shared" ref="B32:B33" si="1">SUM(AB6:AM6)</f>
        <v>889360.76299000008</v>
      </c>
      <c r="C32" s="266">
        <f t="shared" ref="C32:C33" si="2">SUM(AN6:AY6)</f>
        <v>1346743.03428</v>
      </c>
      <c r="D32" s="266">
        <f t="shared" ref="D32:D33" si="3">SUM(AZ6:BK6)</f>
        <v>1848364.8813400001</v>
      </c>
      <c r="E32" s="266">
        <f t="shared" ref="E32:E33" si="4">SUM(BL6:BW6)</f>
        <v>1752951.33877</v>
      </c>
      <c r="F32" s="207" t="s">
        <v>85</v>
      </c>
      <c r="G32" s="20">
        <f t="shared" si="0"/>
        <v>889.36076299000013</v>
      </c>
      <c r="H32" s="20">
        <f t="shared" si="0"/>
        <v>1346.7430342800001</v>
      </c>
      <c r="I32" s="20">
        <f t="shared" si="0"/>
        <v>1848.36488134</v>
      </c>
      <c r="J32" s="20">
        <f t="shared" si="0"/>
        <v>1752.9513387700001</v>
      </c>
      <c r="DY32" s="238"/>
      <c r="DZ32" s="238"/>
      <c r="EA32" s="239"/>
      <c r="EB32" s="239"/>
      <c r="EC32" s="240"/>
      <c r="ED32" s="239"/>
    </row>
    <row r="33" spans="1:141" x14ac:dyDescent="0.2">
      <c r="A33" s="207" t="s">
        <v>86</v>
      </c>
      <c r="B33" s="266">
        <f t="shared" si="1"/>
        <v>1999536.4997700052</v>
      </c>
      <c r="C33" s="266">
        <f t="shared" si="2"/>
        <v>2880005.5083300001</v>
      </c>
      <c r="D33" s="266">
        <f t="shared" si="3"/>
        <v>3516460.08396</v>
      </c>
      <c r="E33" s="266">
        <f t="shared" si="4"/>
        <v>4841781.2308599995</v>
      </c>
      <c r="F33" s="207" t="s">
        <v>86</v>
      </c>
      <c r="G33" s="20">
        <f t="shared" si="0"/>
        <v>1999.5364997700053</v>
      </c>
      <c r="H33" s="20">
        <f t="shared" si="0"/>
        <v>2880.0055083299999</v>
      </c>
      <c r="I33" s="20">
        <f t="shared" si="0"/>
        <v>3516.4600839599998</v>
      </c>
      <c r="J33" s="20">
        <f t="shared" si="0"/>
        <v>4841.7812308599996</v>
      </c>
    </row>
    <row r="35" spans="1:141" x14ac:dyDescent="0.2">
      <c r="A35" s="19" t="s">
        <v>252</v>
      </c>
    </row>
    <row r="36" spans="1:141" x14ac:dyDescent="0.2">
      <c r="K36" s="19" t="str">
        <f>F31</f>
        <v>Ontario Electricity Financial Corporation - Non-Utility Generation</v>
      </c>
      <c r="L36" s="19" t="str">
        <f>F32</f>
        <v>Ontario Power Generation - Generation</v>
      </c>
      <c r="M36" s="19" t="str">
        <f>F33</f>
        <v>OPA Contracts</v>
      </c>
    </row>
    <row r="37" spans="1:141" x14ac:dyDescent="0.2">
      <c r="J37" s="19">
        <v>2010</v>
      </c>
      <c r="K37" s="267">
        <f>G31</f>
        <v>959.66952499999991</v>
      </c>
      <c r="L37" s="267">
        <f>G32</f>
        <v>889.36076299000013</v>
      </c>
      <c r="M37" s="267">
        <f>G33</f>
        <v>1999.5364997700053</v>
      </c>
    </row>
    <row r="38" spans="1:141" x14ac:dyDescent="0.2">
      <c r="J38" s="19">
        <f>H30</f>
        <v>2011</v>
      </c>
      <c r="K38" s="267">
        <f>H31</f>
        <v>1082.9636090000001</v>
      </c>
      <c r="L38" s="267">
        <f>H32</f>
        <v>1346.7430342800001</v>
      </c>
      <c r="M38" s="267">
        <f>H33</f>
        <v>2880.0055083299999</v>
      </c>
    </row>
    <row r="39" spans="1:141" x14ac:dyDescent="0.2">
      <c r="J39" s="19">
        <f>I30</f>
        <v>2012</v>
      </c>
      <c r="K39" s="267">
        <f>I31</f>
        <v>1090.98173</v>
      </c>
      <c r="L39" s="267">
        <f>I32</f>
        <v>1848.36488134</v>
      </c>
      <c r="M39" s="267">
        <f>I33</f>
        <v>3516.4600839599998</v>
      </c>
    </row>
    <row r="40" spans="1:141" x14ac:dyDescent="0.2">
      <c r="J40" s="19">
        <f>J30</f>
        <v>2013</v>
      </c>
      <c r="K40" s="267">
        <f>J31</f>
        <v>1132.6152849999999</v>
      </c>
      <c r="L40" s="267">
        <f>J32</f>
        <v>1752.9513387700001</v>
      </c>
      <c r="M40" s="267">
        <f>J33</f>
        <v>4841.7812308599996</v>
      </c>
    </row>
    <row r="46" spans="1:141" x14ac:dyDescent="0.2">
      <c r="EK46" s="241"/>
    </row>
    <row r="47" spans="1:141" x14ac:dyDescent="0.2">
      <c r="EK47" s="241"/>
    </row>
    <row r="48" spans="1:141" x14ac:dyDescent="0.2">
      <c r="EI48" s="54"/>
      <c r="EJ48" s="54"/>
      <c r="EK48" s="241"/>
    </row>
    <row r="49" spans="76:141" x14ac:dyDescent="0.2">
      <c r="BX49" s="54"/>
      <c r="EI49" s="54"/>
      <c r="EJ49" s="54"/>
    </row>
    <row r="50" spans="76:141" x14ac:dyDescent="0.2">
      <c r="BX50" s="54"/>
      <c r="EI50" s="54"/>
      <c r="EJ50" s="54"/>
      <c r="EK50" s="241"/>
    </row>
    <row r="51" spans="76:141" x14ac:dyDescent="0.2">
      <c r="BX51" s="54"/>
      <c r="EI51" s="54"/>
      <c r="EJ51" s="54"/>
      <c r="EK51" s="241"/>
    </row>
    <row r="52" spans="76:141" x14ac:dyDescent="0.2">
      <c r="BX52" s="54"/>
      <c r="EI52" s="54"/>
      <c r="EJ52" s="54"/>
    </row>
    <row r="53" spans="76:141" x14ac:dyDescent="0.2">
      <c r="BX53" s="54"/>
      <c r="EI53" s="54"/>
      <c r="EJ53" s="54"/>
    </row>
    <row r="54" spans="76:141" x14ac:dyDescent="0.2">
      <c r="BX54" s="54"/>
      <c r="EI54" s="54"/>
      <c r="EJ54" s="54"/>
    </row>
    <row r="55" spans="76:141" x14ac:dyDescent="0.2">
      <c r="BX55" s="54"/>
      <c r="EI55" s="242"/>
      <c r="EJ55" s="54"/>
    </row>
    <row r="56" spans="76:141" x14ac:dyDescent="0.2">
      <c r="EI56" s="54"/>
      <c r="EJ56" s="54"/>
    </row>
    <row r="66" spans="42:50" x14ac:dyDescent="0.2">
      <c r="AV66" s="243" t="s">
        <v>218</v>
      </c>
      <c r="AW66" s="243" t="s">
        <v>219</v>
      </c>
    </row>
    <row r="67" spans="42:50" x14ac:dyDescent="0.2">
      <c r="AP67" s="494" t="s">
        <v>220</v>
      </c>
      <c r="AQ67" s="494"/>
      <c r="AR67" s="494"/>
      <c r="AS67" s="494"/>
      <c r="AT67" s="494"/>
      <c r="AU67" s="494"/>
      <c r="AV67" s="244" t="s">
        <v>221</v>
      </c>
      <c r="AW67" s="245"/>
      <c r="AX67" s="207"/>
    </row>
    <row r="68" spans="42:50" x14ac:dyDescent="0.2">
      <c r="AP68" s="494" t="s">
        <v>222</v>
      </c>
      <c r="AQ68" s="494"/>
      <c r="AR68" s="494"/>
      <c r="AS68" s="494"/>
      <c r="AT68" s="494"/>
      <c r="AU68" s="494"/>
      <c r="AV68" s="244" t="s">
        <v>221</v>
      </c>
      <c r="AW68" s="245"/>
    </row>
    <row r="69" spans="42:50" x14ac:dyDescent="0.2">
      <c r="AP69" s="494" t="s">
        <v>223</v>
      </c>
      <c r="AQ69" s="494"/>
      <c r="AR69" s="494"/>
      <c r="AS69" s="494"/>
      <c r="AT69" s="494"/>
      <c r="AU69" s="494"/>
      <c r="AV69" s="244" t="s">
        <v>221</v>
      </c>
      <c r="AW69" s="245"/>
    </row>
    <row r="70" spans="42:50" x14ac:dyDescent="0.2">
      <c r="AP70" s="494" t="s">
        <v>224</v>
      </c>
      <c r="AQ70" s="494"/>
      <c r="AR70" s="494"/>
      <c r="AS70" s="494"/>
      <c r="AT70" s="494"/>
      <c r="AU70" s="494"/>
      <c r="AV70" s="244" t="s">
        <v>221</v>
      </c>
      <c r="AW70" s="245"/>
    </row>
    <row r="71" spans="42:50" x14ac:dyDescent="0.2">
      <c r="AP71" s="494" t="s">
        <v>225</v>
      </c>
      <c r="AQ71" s="494"/>
      <c r="AR71" s="494"/>
      <c r="AS71" s="494"/>
      <c r="AT71" s="494"/>
      <c r="AU71" s="494"/>
      <c r="AV71" s="244" t="s">
        <v>221</v>
      </c>
      <c r="AW71" s="245"/>
    </row>
    <row r="72" spans="42:50" x14ac:dyDescent="0.2">
      <c r="AP72" s="494" t="s">
        <v>226</v>
      </c>
      <c r="AQ72" s="494"/>
      <c r="AR72" s="494"/>
      <c r="AS72" s="494"/>
      <c r="AT72" s="494"/>
      <c r="AU72" s="494"/>
      <c r="AV72" s="244" t="s">
        <v>221</v>
      </c>
      <c r="AW72" s="245"/>
    </row>
    <row r="73" spans="42:50" x14ac:dyDescent="0.2">
      <c r="AP73" s="494" t="s">
        <v>227</v>
      </c>
      <c r="AQ73" s="494"/>
      <c r="AR73" s="494"/>
      <c r="AS73" s="494"/>
      <c r="AT73" s="494"/>
      <c r="AU73" s="494"/>
      <c r="AV73" s="244" t="s">
        <v>228</v>
      </c>
      <c r="AW73" s="245"/>
    </row>
    <row r="74" spans="42:50" x14ac:dyDescent="0.2">
      <c r="AP74" s="494" t="s">
        <v>229</v>
      </c>
      <c r="AQ74" s="494"/>
      <c r="AR74" s="494"/>
      <c r="AS74" s="494"/>
      <c r="AT74" s="494"/>
      <c r="AU74" s="494"/>
      <c r="AV74" s="244" t="s">
        <v>221</v>
      </c>
      <c r="AW74" s="245"/>
    </row>
    <row r="75" spans="42:50" x14ac:dyDescent="0.2">
      <c r="AP75" s="494" t="s">
        <v>230</v>
      </c>
      <c r="AQ75" s="494"/>
      <c r="AR75" s="494"/>
      <c r="AS75" s="494"/>
      <c r="AT75" s="494"/>
      <c r="AU75" s="494"/>
      <c r="AV75" s="244" t="s">
        <v>221</v>
      </c>
      <c r="AW75" s="245"/>
    </row>
    <row r="76" spans="42:50" x14ac:dyDescent="0.2">
      <c r="AP76" s="494" t="s">
        <v>231</v>
      </c>
      <c r="AQ76" s="494"/>
      <c r="AR76" s="494"/>
      <c r="AS76" s="494"/>
      <c r="AT76" s="494"/>
      <c r="AU76" s="494"/>
      <c r="AV76" s="244" t="s">
        <v>221</v>
      </c>
      <c r="AW76" s="245"/>
    </row>
    <row r="77" spans="42:50" x14ac:dyDescent="0.2">
      <c r="AP77" s="494" t="s">
        <v>232</v>
      </c>
      <c r="AQ77" s="494"/>
      <c r="AR77" s="494"/>
      <c r="AS77" s="494"/>
      <c r="AT77" s="494"/>
      <c r="AU77" s="494"/>
      <c r="AV77" s="244" t="s">
        <v>221</v>
      </c>
      <c r="AW77" s="245"/>
    </row>
    <row r="78" spans="42:50" x14ac:dyDescent="0.2">
      <c r="AP78" s="494" t="s">
        <v>233</v>
      </c>
      <c r="AQ78" s="494"/>
      <c r="AR78" s="494"/>
      <c r="AS78" s="494"/>
      <c r="AT78" s="494"/>
      <c r="AU78" s="494"/>
      <c r="AV78" s="246"/>
      <c r="AW78" s="247"/>
    </row>
    <row r="81" spans="1:78" x14ac:dyDescent="0.2">
      <c r="A81" s="248"/>
      <c r="AP81" s="248" t="s">
        <v>234</v>
      </c>
      <c r="AQ81" s="248"/>
      <c r="AR81" s="248"/>
      <c r="AS81" s="248"/>
      <c r="AT81" s="248"/>
      <c r="AU81" s="248"/>
      <c r="AV81" s="248"/>
      <c r="AW81" s="248"/>
      <c r="AX81" s="248"/>
      <c r="AY81" s="248"/>
      <c r="AZ81" s="248"/>
      <c r="BA81" s="248"/>
      <c r="BB81" s="248"/>
      <c r="BC81" s="248"/>
      <c r="BD81" s="248"/>
      <c r="BE81" s="248"/>
      <c r="BF81" s="248"/>
      <c r="BG81" s="248"/>
      <c r="BH81" s="248"/>
      <c r="BI81" s="248"/>
      <c r="BJ81" s="248"/>
      <c r="BK81" s="248"/>
      <c r="BL81" s="248"/>
      <c r="BM81" s="248"/>
      <c r="BN81" s="248"/>
      <c r="BO81" s="248"/>
      <c r="BP81" s="248"/>
      <c r="BQ81" s="248"/>
      <c r="BR81" s="248"/>
      <c r="BS81" s="248"/>
      <c r="BT81" s="248"/>
      <c r="BU81" s="248"/>
      <c r="BV81" s="248"/>
      <c r="BW81" s="248"/>
      <c r="BX81" s="248"/>
    </row>
    <row r="82" spans="1:78" x14ac:dyDescent="0.2">
      <c r="A82" s="248"/>
      <c r="AP82" s="248"/>
      <c r="AQ82" s="248" t="s">
        <v>52</v>
      </c>
      <c r="AR82" s="248" t="s">
        <v>53</v>
      </c>
      <c r="AS82" s="248" t="s">
        <v>54</v>
      </c>
      <c r="AT82" s="248" t="s">
        <v>55</v>
      </c>
      <c r="AU82" s="248" t="s">
        <v>56</v>
      </c>
      <c r="AV82" s="248" t="s">
        <v>57</v>
      </c>
      <c r="AW82" s="248" t="s">
        <v>58</v>
      </c>
      <c r="AX82" s="248" t="s">
        <v>59</v>
      </c>
      <c r="AY82" s="248" t="s">
        <v>60</v>
      </c>
      <c r="AZ82" s="248" t="s">
        <v>61</v>
      </c>
      <c r="BA82" s="248" t="s">
        <v>62</v>
      </c>
      <c r="BB82" s="248" t="s">
        <v>63</v>
      </c>
      <c r="BC82" s="248" t="s">
        <v>64</v>
      </c>
      <c r="BD82" s="248" t="s">
        <v>65</v>
      </c>
      <c r="BE82" s="248" t="s">
        <v>66</v>
      </c>
      <c r="BF82" s="248" t="s">
        <v>67</v>
      </c>
      <c r="BG82" s="248" t="s">
        <v>68</v>
      </c>
      <c r="BH82" s="248" t="s">
        <v>69</v>
      </c>
      <c r="BI82" s="248"/>
      <c r="BJ82" s="248"/>
      <c r="BK82" s="248"/>
      <c r="BL82" s="248"/>
      <c r="BM82" s="248"/>
      <c r="BN82" s="248"/>
      <c r="BO82" s="248"/>
      <c r="BP82" s="248"/>
      <c r="BQ82" s="248"/>
      <c r="BR82" s="248"/>
      <c r="BS82" s="248"/>
      <c r="BT82" s="248"/>
      <c r="BU82" s="248"/>
      <c r="BV82" s="248"/>
      <c r="BW82" s="248"/>
    </row>
    <row r="83" spans="1:78" x14ac:dyDescent="0.2">
      <c r="A83" s="249"/>
      <c r="AP83" s="249" t="s">
        <v>236</v>
      </c>
      <c r="AQ83" s="250">
        <f>85704.31487/1000</f>
        <v>85.704314870000005</v>
      </c>
      <c r="AR83" s="250">
        <f>98931.51105/1000</f>
        <v>98.931511049999997</v>
      </c>
      <c r="AS83" s="250">
        <f>69878.4140485398/1000</f>
        <v>69.878414048539796</v>
      </c>
      <c r="AT83" s="250">
        <f>72484.57807/1000</f>
        <v>72.484578069999998</v>
      </c>
      <c r="AU83" s="250">
        <f>75134.22311/1000</f>
        <v>75.134223110000008</v>
      </c>
      <c r="AV83" s="250">
        <f>89333.29225/1000</f>
        <v>89.33329225</v>
      </c>
      <c r="AW83" s="250">
        <f>89297.56594/1000</f>
        <v>89.297565939999998</v>
      </c>
      <c r="AX83" s="250">
        <f>64445176.81/1000000</f>
        <v>64.445176810000007</v>
      </c>
      <c r="AY83" s="250">
        <f>88064547.77/1000000</f>
        <v>88.06454776999999</v>
      </c>
      <c r="AZ83" s="250">
        <f>77096189.8/1000000</f>
        <v>77.096189799999991</v>
      </c>
      <c r="BA83" s="250">
        <v>68.301123700000005</v>
      </c>
      <c r="BB83" s="250">
        <v>109.82367360000036</v>
      </c>
      <c r="BC83" s="250">
        <v>106.94255879000001</v>
      </c>
      <c r="BD83" s="250">
        <v>105.91284826000005</v>
      </c>
      <c r="BE83" s="250">
        <v>113.285053</v>
      </c>
      <c r="BF83" s="250">
        <v>90.038701599999996</v>
      </c>
      <c r="BG83" s="250">
        <v>79.643600540000008</v>
      </c>
      <c r="BH83" s="250">
        <v>86.540419540000002</v>
      </c>
      <c r="BI83" s="250"/>
      <c r="BJ83" s="250"/>
      <c r="BK83" s="250"/>
      <c r="BL83" s="250"/>
      <c r="BM83" s="250"/>
      <c r="BN83" s="250"/>
      <c r="BO83" s="250"/>
      <c r="BP83" s="250"/>
      <c r="BQ83" s="250"/>
      <c r="BR83" s="250"/>
      <c r="BS83" s="250"/>
      <c r="BT83" s="250"/>
      <c r="BU83" s="250"/>
      <c r="BV83" s="250"/>
      <c r="BW83" s="250"/>
      <c r="BY83" s="19">
        <v>64445176.810000002</v>
      </c>
      <c r="BZ83" s="19">
        <v>88064547.769999996</v>
      </c>
    </row>
    <row r="84" spans="1:78" x14ac:dyDescent="0.2">
      <c r="A84" s="249"/>
      <c r="AP84" s="249" t="s">
        <v>238</v>
      </c>
      <c r="AQ84" s="250">
        <f>42394.13095/1000</f>
        <v>42.394130949999997</v>
      </c>
      <c r="AR84" s="250">
        <f>42644.90409/1000</f>
        <v>42.644904090000004</v>
      </c>
      <c r="AS84" s="250">
        <f>34394.7576481968/1000</f>
        <v>34.394757648196801</v>
      </c>
      <c r="AT84" s="250">
        <f>23901.26048/1000</f>
        <v>23.901260480000001</v>
      </c>
      <c r="AU84" s="250">
        <f>23002.67937/1000</f>
        <v>23.002679370000003</v>
      </c>
      <c r="AV84" s="250">
        <f>24862.00276/1000</f>
        <v>24.862002759999999</v>
      </c>
      <c r="AW84" s="250">
        <f>38517.88891/1000</f>
        <v>38.517888910000003</v>
      </c>
      <c r="AX84" s="250">
        <f>41299466.76/1000000</f>
        <v>41.299466760000001</v>
      </c>
      <c r="AY84" s="250">
        <f>63138309.69/1000000</f>
        <v>63.13830969</v>
      </c>
      <c r="AZ84" s="250">
        <f>59986539.94/1000000</f>
        <v>59.98653994</v>
      </c>
      <c r="BA84" s="250">
        <v>64.672567110000003</v>
      </c>
      <c r="BB84" s="250">
        <v>74.407232250000007</v>
      </c>
      <c r="BC84" s="250">
        <v>68.52480663</v>
      </c>
      <c r="BD84" s="250">
        <v>41.164553293889028</v>
      </c>
      <c r="BE84" s="250">
        <v>44.499734969999999</v>
      </c>
      <c r="BF84" s="250">
        <v>26.51382186</v>
      </c>
      <c r="BG84" s="250">
        <v>27.924996929999999</v>
      </c>
      <c r="BH84" s="250">
        <v>39.35689593</v>
      </c>
      <c r="BI84" s="250"/>
      <c r="BJ84" s="250"/>
      <c r="BK84" s="250"/>
      <c r="BL84" s="250"/>
      <c r="BM84" s="250"/>
      <c r="BN84" s="250"/>
      <c r="BO84" s="250"/>
      <c r="BP84" s="250"/>
      <c r="BQ84" s="250"/>
      <c r="BR84" s="250"/>
      <c r="BS84" s="250"/>
      <c r="BT84" s="250"/>
      <c r="BU84" s="250"/>
      <c r="BV84" s="250"/>
      <c r="BW84" s="250"/>
      <c r="BY84" s="19">
        <v>41299466.759999998</v>
      </c>
      <c r="BZ84" s="19">
        <v>63138309.689999998</v>
      </c>
    </row>
    <row r="85" spans="1:78" x14ac:dyDescent="0.2">
      <c r="A85" s="249"/>
      <c r="AP85" s="249" t="s">
        <v>240</v>
      </c>
      <c r="AQ85" s="250">
        <f>66563.38632/1000</f>
        <v>66.563386320000006</v>
      </c>
      <c r="AR85" s="250">
        <f>67943.74896/1000</f>
        <v>67.943748959999994</v>
      </c>
      <c r="AS85" s="250">
        <f>62240.45233/1000</f>
        <v>62.240452329999997</v>
      </c>
      <c r="AT85" s="250">
        <f>61906.1403799999/1000</f>
        <v>61.906140379999904</v>
      </c>
      <c r="AU85" s="250">
        <f>64512.99845/1000</f>
        <v>64.512998449999998</v>
      </c>
      <c r="AV85" s="250">
        <f>63473.26154/1000</f>
        <v>63.473261540000003</v>
      </c>
      <c r="AW85" s="250">
        <f>67876.2229/1000</f>
        <v>67.876222899999988</v>
      </c>
      <c r="AX85" s="250">
        <f>69937767.08/1000000</f>
        <v>69.93776708</v>
      </c>
      <c r="AY85" s="250">
        <f>69406719.3/1000000</f>
        <v>69.406719299999992</v>
      </c>
      <c r="AZ85" s="250">
        <f>65727851.54/1000000</f>
        <v>65.727851540000003</v>
      </c>
      <c r="BA85" s="250">
        <v>69.866434699999999</v>
      </c>
      <c r="BB85" s="250">
        <v>67.272058250000001</v>
      </c>
      <c r="BC85" s="250">
        <v>73.031762239999992</v>
      </c>
      <c r="BD85" s="250">
        <v>69.62570793957066</v>
      </c>
      <c r="BE85" s="250">
        <v>64.626036880000001</v>
      </c>
      <c r="BF85" s="250">
        <v>53.41464182</v>
      </c>
      <c r="BG85" s="250">
        <v>56.881166159999999</v>
      </c>
      <c r="BH85" s="250">
        <v>65.138591169999998</v>
      </c>
      <c r="BI85" s="250"/>
      <c r="BJ85" s="250"/>
      <c r="BK85" s="250"/>
      <c r="BL85" s="250"/>
      <c r="BM85" s="250"/>
      <c r="BN85" s="250"/>
      <c r="BO85" s="250"/>
      <c r="BP85" s="250"/>
      <c r="BQ85" s="250"/>
      <c r="BR85" s="250"/>
      <c r="BS85" s="250"/>
      <c r="BT85" s="250"/>
      <c r="BU85" s="250"/>
      <c r="BV85" s="250"/>
      <c r="BW85" s="250"/>
      <c r="BY85" s="19">
        <v>69937767.079999998</v>
      </c>
      <c r="BZ85" s="19">
        <v>69406719.299999997</v>
      </c>
    </row>
    <row r="86" spans="1:78" x14ac:dyDescent="0.2">
      <c r="A86" s="251"/>
      <c r="AP86" s="249" t="s">
        <v>242</v>
      </c>
      <c r="AQ86" s="250">
        <f>22935.3416399999/1000</f>
        <v>22.935341639999901</v>
      </c>
      <c r="AR86" s="250">
        <f>27773.62122/1000</f>
        <v>27.773621220000003</v>
      </c>
      <c r="AS86" s="250">
        <f>31181.44219/1000</f>
        <v>31.181442190000002</v>
      </c>
      <c r="AT86" s="250">
        <f>31809.01458/1000</f>
        <v>31.809014579999999</v>
      </c>
      <c r="AU86" s="250">
        <f>48271.9051/1000</f>
        <v>48.271905100000005</v>
      </c>
      <c r="AV86" s="250">
        <f>19451.34653/1000</f>
        <v>19.451346529999999</v>
      </c>
      <c r="AW86" s="250">
        <f>18460.8486/1000</f>
        <v>18.460848600000002</v>
      </c>
      <c r="AX86" s="250">
        <f>24071334.66/1000000</f>
        <v>24.071334660000002</v>
      </c>
      <c r="AY86" s="250">
        <f>26080487.04/1000000</f>
        <v>26.080487039999998</v>
      </c>
      <c r="AZ86" s="250">
        <f>26529346.64/1000000</f>
        <v>26.52934664</v>
      </c>
      <c r="BA86" s="250">
        <v>53.170318020000003</v>
      </c>
      <c r="BB86" s="250">
        <v>62.607238120000005</v>
      </c>
      <c r="BC86" s="250">
        <v>35.026437789999996</v>
      </c>
      <c r="BD86" s="250">
        <v>41.044320970000001</v>
      </c>
      <c r="BE86" s="250">
        <v>39.859094259999999</v>
      </c>
      <c r="BF86" s="250">
        <v>7.5908862099999999</v>
      </c>
      <c r="BG86" s="250">
        <v>38.105268700000003</v>
      </c>
      <c r="BH86" s="250">
        <v>16.521618480000001</v>
      </c>
      <c r="BI86" s="250"/>
      <c r="BJ86" s="250"/>
      <c r="BK86" s="250"/>
      <c r="BL86" s="250"/>
      <c r="BM86" s="250"/>
      <c r="BN86" s="250"/>
      <c r="BO86" s="250"/>
      <c r="BP86" s="250"/>
      <c r="BQ86" s="250"/>
      <c r="BR86" s="250"/>
      <c r="BS86" s="250"/>
      <c r="BT86" s="250"/>
      <c r="BU86" s="250"/>
      <c r="BV86" s="250"/>
      <c r="BW86" s="250"/>
      <c r="BY86" s="19">
        <v>24071334.66</v>
      </c>
      <c r="BZ86" s="19">
        <v>26080487.039999999</v>
      </c>
    </row>
    <row r="87" spans="1:78" ht="13.5" thickBot="1" x14ac:dyDescent="0.25">
      <c r="A87" s="249"/>
      <c r="AP87" s="249" t="s">
        <v>243</v>
      </c>
      <c r="AQ87" s="252">
        <f>SUM(AQ83:AQ86)</f>
        <v>217.59717377999991</v>
      </c>
      <c r="AR87" s="252">
        <f t="shared" ref="AR87:BH87" si="5">SUM(AR83:AR86)</f>
        <v>237.29378531999998</v>
      </c>
      <c r="AS87" s="252">
        <f t="shared" si="5"/>
        <v>197.69506621673659</v>
      </c>
      <c r="AT87" s="252">
        <f t="shared" si="5"/>
        <v>190.10099350999991</v>
      </c>
      <c r="AU87" s="252">
        <f t="shared" si="5"/>
        <v>210.92180603</v>
      </c>
      <c r="AV87" s="252">
        <f t="shared" si="5"/>
        <v>197.11990308</v>
      </c>
      <c r="AW87" s="252">
        <f t="shared" si="5"/>
        <v>214.15252634999999</v>
      </c>
      <c r="AX87" s="252">
        <f t="shared" si="5"/>
        <v>199.75374531</v>
      </c>
      <c r="AY87" s="252">
        <f t="shared" si="5"/>
        <v>246.69006379999999</v>
      </c>
      <c r="AZ87" s="252">
        <f t="shared" si="5"/>
        <v>229.33992792000001</v>
      </c>
      <c r="BA87" s="252">
        <v>256.01044353000003</v>
      </c>
      <c r="BB87" s="252">
        <f t="shared" si="5"/>
        <v>314.11020222000036</v>
      </c>
      <c r="BC87" s="252">
        <f t="shared" si="5"/>
        <v>283.52556544999999</v>
      </c>
      <c r="BD87" s="252">
        <f t="shared" si="5"/>
        <v>257.74743046345975</v>
      </c>
      <c r="BE87" s="252">
        <f t="shared" si="5"/>
        <v>262.26991910999999</v>
      </c>
      <c r="BF87" s="252">
        <f t="shared" si="5"/>
        <v>177.55805149000003</v>
      </c>
      <c r="BG87" s="252">
        <f t="shared" si="5"/>
        <v>202.55503233000002</v>
      </c>
      <c r="BH87" s="252">
        <f t="shared" si="5"/>
        <v>207.55752512000001</v>
      </c>
      <c r="BI87" s="253"/>
      <c r="BJ87" s="253"/>
      <c r="BK87" s="253"/>
      <c r="BL87" s="253"/>
      <c r="BM87" s="253"/>
      <c r="BN87" s="253"/>
      <c r="BO87" s="253"/>
      <c r="BP87" s="253"/>
      <c r="BQ87" s="253"/>
      <c r="BR87" s="253"/>
      <c r="BS87" s="253"/>
      <c r="BT87" s="253"/>
      <c r="BU87" s="253"/>
      <c r="BV87" s="253"/>
      <c r="BW87" s="253"/>
      <c r="BY87" s="19">
        <v>199753745.30999997</v>
      </c>
      <c r="BZ87" s="19">
        <v>246690063.79999998</v>
      </c>
    </row>
    <row r="88" spans="1:78" x14ac:dyDescent="0.2">
      <c r="BY88" s="19" t="s">
        <v>208</v>
      </c>
      <c r="BZ88" s="19" t="s">
        <v>208</v>
      </c>
    </row>
    <row r="89" spans="1:78" x14ac:dyDescent="0.2">
      <c r="A89" s="249"/>
      <c r="AT89" s="254">
        <v>72.484578069999998</v>
      </c>
      <c r="AU89" s="254">
        <v>75.134223109999994</v>
      </c>
      <c r="AV89" s="254">
        <v>89.33329225</v>
      </c>
      <c r="AW89" s="254">
        <v>89.297565939999998</v>
      </c>
      <c r="AX89" s="254">
        <v>64.445176810000007</v>
      </c>
      <c r="AY89" s="254">
        <v>88.06454776999999</v>
      </c>
      <c r="AZ89" s="254">
        <v>77.096189799999991</v>
      </c>
      <c r="BA89" s="254">
        <v>68.301123700000005</v>
      </c>
      <c r="BB89" s="254">
        <v>109.82367360000036</v>
      </c>
      <c r="BC89" s="254">
        <v>106.94255879000001</v>
      </c>
      <c r="BD89" s="254">
        <v>105.91284826000005</v>
      </c>
      <c r="BE89" s="254">
        <v>113.285053</v>
      </c>
      <c r="BF89" s="254">
        <v>90.038701599999996</v>
      </c>
      <c r="BG89" s="254">
        <v>79.643600540000008</v>
      </c>
      <c r="BH89" s="254">
        <v>86.540419540000002</v>
      </c>
      <c r="BI89" s="254"/>
      <c r="BJ89" s="254"/>
      <c r="BK89" s="254"/>
      <c r="BL89" s="254"/>
      <c r="BM89" s="254"/>
      <c r="BN89" s="254"/>
      <c r="BO89" s="254"/>
      <c r="BP89" s="254"/>
      <c r="BQ89" s="254"/>
      <c r="BR89" s="254"/>
      <c r="BS89" s="254"/>
      <c r="BT89" s="254"/>
      <c r="BU89" s="254"/>
      <c r="BV89" s="254"/>
      <c r="BW89" s="254"/>
      <c r="BX89" s="254"/>
    </row>
    <row r="90" spans="1:78" x14ac:dyDescent="0.2">
      <c r="AT90" s="254">
        <v>23.901260480000001</v>
      </c>
      <c r="AU90" s="254">
        <v>23.002679370000003</v>
      </c>
      <c r="AV90" s="254">
        <v>24.862002760000003</v>
      </c>
      <c r="AW90" s="254">
        <v>38.517888909999996</v>
      </c>
      <c r="AX90" s="254">
        <v>41.299466760000001</v>
      </c>
      <c r="AY90" s="254">
        <v>63.13830969</v>
      </c>
      <c r="AZ90" s="254">
        <v>59.98653994</v>
      </c>
      <c r="BA90" s="254">
        <v>64.672567110000003</v>
      </c>
      <c r="BB90" s="254">
        <v>74.407232250000007</v>
      </c>
      <c r="BC90" s="254">
        <v>68.52480663</v>
      </c>
      <c r="BD90" s="254">
        <v>41.164553293889028</v>
      </c>
      <c r="BE90" s="254">
        <v>44.499734969999999</v>
      </c>
      <c r="BF90" s="254">
        <v>26.51382186</v>
      </c>
      <c r="BG90" s="254">
        <v>27.924996929999999</v>
      </c>
      <c r="BH90" s="254">
        <v>39.35689593</v>
      </c>
      <c r="BI90" s="254"/>
      <c r="BJ90" s="254"/>
      <c r="BK90" s="254"/>
      <c r="BL90" s="254"/>
      <c r="BM90" s="254"/>
      <c r="BN90" s="254"/>
      <c r="BO90" s="254"/>
      <c r="BP90" s="254"/>
      <c r="BQ90" s="254"/>
      <c r="BR90" s="254"/>
      <c r="BS90" s="254"/>
      <c r="BT90" s="254"/>
      <c r="BU90" s="254"/>
      <c r="BV90" s="254"/>
      <c r="BW90" s="254"/>
      <c r="BX90" s="254"/>
    </row>
    <row r="91" spans="1:78" x14ac:dyDescent="0.2">
      <c r="AT91" s="254">
        <v>61.906140380000004</v>
      </c>
      <c r="AU91" s="254">
        <v>64.512998449999998</v>
      </c>
      <c r="AV91" s="254">
        <v>63.473261539999996</v>
      </c>
      <c r="AW91" s="254">
        <v>67.876222900000002</v>
      </c>
      <c r="AX91" s="254">
        <v>69.93776708</v>
      </c>
      <c r="AY91" s="254">
        <v>69.406719299999992</v>
      </c>
      <c r="AZ91" s="254">
        <v>65.727851540000003</v>
      </c>
      <c r="BA91" s="254">
        <v>69.866434699999999</v>
      </c>
      <c r="BB91" s="254">
        <v>67.272058250000001</v>
      </c>
      <c r="BC91" s="254">
        <v>73.031762239999992</v>
      </c>
      <c r="BD91" s="254">
        <v>69.62570793957066</v>
      </c>
      <c r="BE91" s="254">
        <v>64.626036880000001</v>
      </c>
      <c r="BF91" s="254">
        <v>53.41464182</v>
      </c>
      <c r="BG91" s="254">
        <v>56.881166159999999</v>
      </c>
      <c r="BH91" s="254">
        <v>65.138591169999998</v>
      </c>
      <c r="BI91" s="254"/>
      <c r="BJ91" s="254"/>
      <c r="BK91" s="254"/>
      <c r="BL91" s="254"/>
      <c r="BM91" s="254"/>
      <c r="BN91" s="254"/>
      <c r="BO91" s="254"/>
      <c r="BP91" s="254"/>
      <c r="BQ91" s="254"/>
      <c r="BR91" s="254"/>
      <c r="BS91" s="254"/>
      <c r="BT91" s="254"/>
      <c r="BU91" s="254"/>
      <c r="BV91" s="254"/>
      <c r="BW91" s="254"/>
      <c r="BX91" s="254"/>
    </row>
    <row r="92" spans="1:78" x14ac:dyDescent="0.2">
      <c r="AT92" s="254">
        <v>31.809014579999999</v>
      </c>
      <c r="AU92" s="254">
        <v>48.271905100000005</v>
      </c>
      <c r="AV92" s="254">
        <v>19.451346530000002</v>
      </c>
      <c r="AW92" s="254">
        <v>18.460848600000002</v>
      </c>
      <c r="AX92" s="254">
        <v>24.071334660000002</v>
      </c>
      <c r="AY92" s="254">
        <v>26.080487039999998</v>
      </c>
      <c r="AZ92" s="254">
        <v>26.52934664</v>
      </c>
      <c r="BA92" s="254">
        <v>53.170318020000003</v>
      </c>
      <c r="BB92" s="254">
        <v>62.607238120000005</v>
      </c>
      <c r="BC92" s="254">
        <v>35.026437789999996</v>
      </c>
      <c r="BD92" s="254">
        <v>41.044320970000001</v>
      </c>
      <c r="BE92" s="254">
        <v>39.859094259999999</v>
      </c>
      <c r="BF92" s="254">
        <v>7.5908862099999999</v>
      </c>
      <c r="BG92" s="254">
        <v>38.105268700000003</v>
      </c>
      <c r="BH92" s="254">
        <v>16.521618480000001</v>
      </c>
      <c r="BI92" s="254"/>
      <c r="BJ92" s="254"/>
      <c r="BK92" s="254"/>
      <c r="BL92" s="254"/>
      <c r="BM92" s="254"/>
      <c r="BN92" s="254"/>
      <c r="BO92" s="254"/>
      <c r="BP92" s="254"/>
      <c r="BQ92" s="254"/>
      <c r="BR92" s="254"/>
      <c r="BS92" s="254"/>
      <c r="BT92" s="254"/>
      <c r="BU92" s="254"/>
      <c r="BV92" s="254"/>
      <c r="BW92" s="254"/>
      <c r="BX92" s="254"/>
    </row>
    <row r="93" spans="1:78" x14ac:dyDescent="0.2">
      <c r="AT93" s="254">
        <f>SUM(AT89:AT92)</f>
        <v>190.10099351</v>
      </c>
      <c r="AU93" s="254">
        <f t="shared" ref="AU93:BH93" si="6">SUM(AU89:AU92)</f>
        <v>210.92180603</v>
      </c>
      <c r="AV93" s="254">
        <f t="shared" si="6"/>
        <v>197.11990308</v>
      </c>
      <c r="AW93" s="254">
        <f t="shared" si="6"/>
        <v>214.15252634999999</v>
      </c>
      <c r="AX93" s="254">
        <f t="shared" si="6"/>
        <v>199.75374531</v>
      </c>
      <c r="AY93" s="254">
        <f t="shared" si="6"/>
        <v>246.69006379999999</v>
      </c>
      <c r="AZ93" s="254">
        <f t="shared" si="6"/>
        <v>229.33992792000001</v>
      </c>
      <c r="BA93" s="254">
        <f t="shared" si="6"/>
        <v>256.01044353000003</v>
      </c>
      <c r="BB93" s="254">
        <f t="shared" si="6"/>
        <v>314.11020222000036</v>
      </c>
      <c r="BC93" s="254">
        <f t="shared" si="6"/>
        <v>283.52556544999999</v>
      </c>
      <c r="BD93" s="254">
        <f t="shared" si="6"/>
        <v>257.74743046345975</v>
      </c>
      <c r="BE93" s="254">
        <f t="shared" si="6"/>
        <v>262.26991910999999</v>
      </c>
      <c r="BF93" s="254">
        <f t="shared" si="6"/>
        <v>177.55805149000003</v>
      </c>
      <c r="BG93" s="254">
        <f t="shared" si="6"/>
        <v>202.55503233000002</v>
      </c>
      <c r="BH93" s="254">
        <f t="shared" si="6"/>
        <v>207.55752512000001</v>
      </c>
      <c r="BI93" s="254"/>
      <c r="BJ93" s="254"/>
      <c r="BK93" s="254"/>
      <c r="BL93" s="254"/>
      <c r="BM93" s="254"/>
      <c r="BN93" s="254"/>
      <c r="BO93" s="254"/>
      <c r="BP93" s="254"/>
      <c r="BQ93" s="254"/>
      <c r="BR93" s="254"/>
      <c r="BS93" s="254"/>
      <c r="BT93" s="254"/>
      <c r="BU93" s="254"/>
      <c r="BV93" s="254"/>
      <c r="BW93" s="254"/>
      <c r="BX93" s="254"/>
    </row>
    <row r="94" spans="1:78" x14ac:dyDescent="0.2">
      <c r="AT94" s="56">
        <f>AT87-AT93</f>
        <v>0</v>
      </c>
      <c r="AU94" s="56">
        <f t="shared" ref="AU94:BH94" si="7">AU87-AU93</f>
        <v>0</v>
      </c>
      <c r="AV94" s="56">
        <f t="shared" si="7"/>
        <v>0</v>
      </c>
      <c r="AW94" s="56">
        <f t="shared" si="7"/>
        <v>0</v>
      </c>
      <c r="AX94" s="56">
        <f t="shared" si="7"/>
        <v>0</v>
      </c>
      <c r="AY94" s="56">
        <f t="shared" si="7"/>
        <v>0</v>
      </c>
      <c r="AZ94" s="56">
        <f t="shared" si="7"/>
        <v>0</v>
      </c>
      <c r="BA94" s="56">
        <f t="shared" si="7"/>
        <v>0</v>
      </c>
      <c r="BB94" s="56">
        <f t="shared" si="7"/>
        <v>0</v>
      </c>
      <c r="BC94" s="56">
        <f t="shared" si="7"/>
        <v>0</v>
      </c>
      <c r="BD94" s="56">
        <f t="shared" si="7"/>
        <v>0</v>
      </c>
      <c r="BE94" s="56">
        <f t="shared" si="7"/>
        <v>0</v>
      </c>
      <c r="BF94" s="56">
        <f t="shared" si="7"/>
        <v>0</v>
      </c>
      <c r="BG94" s="56">
        <f t="shared" si="7"/>
        <v>0</v>
      </c>
      <c r="BH94" s="56">
        <f t="shared" si="7"/>
        <v>0</v>
      </c>
      <c r="BI94" s="56"/>
      <c r="BJ94" s="56"/>
      <c r="BK94" s="56"/>
      <c r="BL94" s="56"/>
      <c r="BM94" s="56"/>
      <c r="BN94" s="56"/>
      <c r="BO94" s="56"/>
      <c r="BP94" s="56"/>
      <c r="BQ94" s="56"/>
      <c r="BR94" s="56"/>
      <c r="BS94" s="56"/>
      <c r="BT94" s="56"/>
      <c r="BU94" s="56"/>
      <c r="BV94" s="56"/>
      <c r="BW94" s="56"/>
    </row>
  </sheetData>
  <mergeCells count="16">
    <mergeCell ref="AP75:AU75"/>
    <mergeCell ref="AP76:AU76"/>
    <mergeCell ref="AP77:AU77"/>
    <mergeCell ref="AP78:AU78"/>
    <mergeCell ref="AP69:AU69"/>
    <mergeCell ref="AP70:AU70"/>
    <mergeCell ref="AP71:AU71"/>
    <mergeCell ref="AP72:AU72"/>
    <mergeCell ref="AP73:AU73"/>
    <mergeCell ref="AP74:AU74"/>
    <mergeCell ref="AP68:AU68"/>
    <mergeCell ref="AP67:AU67"/>
    <mergeCell ref="BB14:BF14"/>
    <mergeCell ref="BH14:BM14"/>
    <mergeCell ref="BB15:BF15"/>
    <mergeCell ref="BH15:BM15"/>
  </mergeCells>
  <hyperlinks>
    <hyperlink ref="BY16" r:id="rId1"/>
    <hyperlink ref="DX12" r:id="rId2"/>
    <hyperlink ref="DX16" r:id="rId3"/>
    <hyperlink ref="DT12" r:id="rId4"/>
    <hyperlink ref="DT16" r:id="rId5"/>
    <hyperlink ref="EJ16" r:id="rId6"/>
    <hyperlink ref="BH15" r:id="rId7"/>
    <hyperlink ref="BH14" r:id="rId8"/>
  </hyperlinks>
  <pageMargins left="0.7" right="0.7" top="0.75" bottom="0.75" header="0.3" footer="0.3"/>
  <pageSetup orientation="portrait" verticalDpi="0" r:id="rId9"/>
  <drawing r:id="rId10"/>
  <legacyDrawing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31"/>
  <sheetViews>
    <sheetView topLeftCell="A19" workbookViewId="0">
      <selection activeCell="M34" sqref="M34"/>
    </sheetView>
  </sheetViews>
  <sheetFormatPr defaultColWidth="8.85546875" defaultRowHeight="15" x14ac:dyDescent="0.25"/>
  <cols>
    <col min="1" max="1" width="15.42578125" customWidth="1"/>
    <col min="2" max="2" width="13.28515625" customWidth="1"/>
    <col min="3" max="3" width="13.7109375" customWidth="1"/>
    <col min="4" max="4" width="14" customWidth="1"/>
    <col min="5" max="5" width="13.42578125" customWidth="1"/>
    <col min="6" max="6" width="14.28515625" customWidth="1"/>
    <col min="7" max="7" width="13.42578125" customWidth="1"/>
    <col min="8" max="8" width="12.7109375" customWidth="1"/>
    <col min="9" max="9" width="13.85546875" customWidth="1"/>
    <col min="10" max="10" width="13.7109375" customWidth="1"/>
    <col min="11" max="11" width="13.42578125" customWidth="1"/>
    <col min="12" max="12" width="14" customWidth="1"/>
    <col min="13" max="13" width="10" bestFit="1" customWidth="1"/>
    <col min="14" max="14" width="10.42578125" bestFit="1" customWidth="1"/>
    <col min="15" max="17" width="10" bestFit="1" customWidth="1"/>
    <col min="18" max="18" width="12" bestFit="1" customWidth="1"/>
    <col min="19" max="19" width="10" bestFit="1" customWidth="1"/>
    <col min="20" max="20" width="12" bestFit="1" customWidth="1"/>
    <col min="21" max="21" width="7" customWidth="1"/>
    <col min="22" max="23" width="12" bestFit="1" customWidth="1"/>
    <col min="24" max="24" width="10" bestFit="1" customWidth="1"/>
    <col min="25" max="25" width="12" bestFit="1" customWidth="1"/>
    <col min="26" max="26" width="9" customWidth="1"/>
    <col min="27" max="27" width="7" customWidth="1"/>
    <col min="28" max="28" width="12" bestFit="1" customWidth="1"/>
    <col min="29" max="29" width="10" bestFit="1" customWidth="1"/>
    <col min="30" max="39" width="11" bestFit="1" customWidth="1"/>
    <col min="40" max="40" width="10" bestFit="1" customWidth="1"/>
    <col min="41" max="41" width="11" bestFit="1" customWidth="1"/>
    <col min="42" max="42" width="10" bestFit="1" customWidth="1"/>
    <col min="43" max="45" width="11" bestFit="1" customWidth="1"/>
    <col min="46" max="46" width="12" bestFit="1" customWidth="1"/>
    <col min="47" max="47" width="10" bestFit="1" customWidth="1"/>
    <col min="48" max="51" width="11" bestFit="1" customWidth="1"/>
    <col min="52" max="53" width="12" bestFit="1" customWidth="1"/>
    <col min="54" max="55" width="11" bestFit="1" customWidth="1"/>
    <col min="56" max="61" width="12" bestFit="1" customWidth="1"/>
    <col min="62" max="62" width="7.28515625" customWidth="1"/>
    <col min="63" max="63" width="11.28515625" bestFit="1" customWidth="1"/>
  </cols>
  <sheetData>
    <row r="3" spans="1:12" x14ac:dyDescent="0.25">
      <c r="B3" s="268" t="s">
        <v>0</v>
      </c>
    </row>
    <row r="4" spans="1:12" x14ac:dyDescent="0.25">
      <c r="A4" s="268" t="s">
        <v>1</v>
      </c>
      <c r="B4" t="s">
        <v>2</v>
      </c>
      <c r="C4" t="s">
        <v>3</v>
      </c>
      <c r="D4" t="s">
        <v>4</v>
      </c>
      <c r="E4" t="s">
        <v>5</v>
      </c>
      <c r="F4" t="s">
        <v>6</v>
      </c>
      <c r="G4" t="s">
        <v>7</v>
      </c>
      <c r="H4" t="s">
        <v>8</v>
      </c>
      <c r="I4" t="s">
        <v>9</v>
      </c>
      <c r="J4" t="s">
        <v>10</v>
      </c>
      <c r="K4" t="s">
        <v>11</v>
      </c>
      <c r="L4" t="s">
        <v>12</v>
      </c>
    </row>
    <row r="5" spans="1:12" x14ac:dyDescent="0.25">
      <c r="A5" s="1" t="s">
        <v>13</v>
      </c>
      <c r="B5" s="2">
        <v>187318.11</v>
      </c>
      <c r="C5" s="2">
        <v>313082.46999999997</v>
      </c>
      <c r="D5" s="2">
        <v>239959.04000000004</v>
      </c>
      <c r="E5" s="2">
        <v>233745.59000000003</v>
      </c>
      <c r="F5" s="2">
        <v>310861.68</v>
      </c>
      <c r="G5" s="2">
        <v>298814.08999999997</v>
      </c>
      <c r="H5" s="2">
        <v>288102.13</v>
      </c>
      <c r="I5" s="2">
        <v>321947</v>
      </c>
      <c r="J5" s="2">
        <v>323294.08461286541</v>
      </c>
      <c r="K5" s="2">
        <v>344212.66</v>
      </c>
      <c r="L5" s="2">
        <v>326766.38</v>
      </c>
    </row>
    <row r="6" spans="1:12" x14ac:dyDescent="0.25">
      <c r="A6" s="1" t="s">
        <v>14</v>
      </c>
      <c r="B6" s="2">
        <v>26303700.550000001</v>
      </c>
      <c r="C6" s="2">
        <v>20030022.609999999</v>
      </c>
      <c r="D6" s="2">
        <v>24799552.350000001</v>
      </c>
      <c r="E6" s="2">
        <v>30434905.91</v>
      </c>
      <c r="F6" s="2">
        <v>17967066.460000001</v>
      </c>
      <c r="G6" s="2">
        <v>54295210.530000001</v>
      </c>
      <c r="H6" s="2">
        <v>-11448555.449999999</v>
      </c>
      <c r="I6" s="2">
        <v>22183086.789999999</v>
      </c>
      <c r="J6" s="2">
        <v>22067509.239999998</v>
      </c>
      <c r="K6" s="2">
        <v>23641780.960000001</v>
      </c>
      <c r="L6" s="2">
        <v>23919169.48</v>
      </c>
    </row>
    <row r="7" spans="1:12" x14ac:dyDescent="0.25">
      <c r="A7" s="1" t="s">
        <v>15</v>
      </c>
      <c r="B7" s="2">
        <v>17911962.536180574</v>
      </c>
      <c r="C7" s="2">
        <v>23660246.033399139</v>
      </c>
      <c r="D7" s="2">
        <v>17777267.868024889</v>
      </c>
      <c r="E7" s="2">
        <v>11346634.785329696</v>
      </c>
      <c r="F7" s="2">
        <v>26404406.517042536</v>
      </c>
      <c r="G7" s="2">
        <v>24112710.810916424</v>
      </c>
      <c r="H7" s="2">
        <v>18219151.243291441</v>
      </c>
      <c r="I7" s="2">
        <v>24613782.535602558</v>
      </c>
      <c r="J7" s="2">
        <v>21097635.359237097</v>
      </c>
      <c r="K7" s="2">
        <v>19411946.778253287</v>
      </c>
      <c r="L7" s="2">
        <v>29511621.45026318</v>
      </c>
    </row>
    <row r="8" spans="1:12" x14ac:dyDescent="0.25">
      <c r="A8" s="1" t="s">
        <v>16</v>
      </c>
      <c r="B8" s="2">
        <v>95231416.479536951</v>
      </c>
      <c r="C8" s="2">
        <v>104758270.91484807</v>
      </c>
      <c r="D8" s="2">
        <v>102424367.68285097</v>
      </c>
      <c r="E8" s="2">
        <v>111119031.69389382</v>
      </c>
      <c r="F8" s="2">
        <v>128757706.96876106</v>
      </c>
      <c r="G8" s="2">
        <v>114709256.86637168</v>
      </c>
      <c r="H8" s="2">
        <v>100163965.7423009</v>
      </c>
      <c r="I8" s="2">
        <v>104777564.11000001</v>
      </c>
      <c r="J8" s="2">
        <v>72119891.115840703</v>
      </c>
      <c r="K8" s="2">
        <v>88333393.501769915</v>
      </c>
      <c r="L8" s="2">
        <v>81855723.316460177</v>
      </c>
    </row>
    <row r="9" spans="1:12" x14ac:dyDescent="0.25">
      <c r="A9" s="1" t="s">
        <v>17</v>
      </c>
      <c r="B9" s="2">
        <v>171904306.37302625</v>
      </c>
      <c r="C9" s="2">
        <v>102224685.23999979</v>
      </c>
      <c r="D9" s="2">
        <v>102530381.16797382</v>
      </c>
      <c r="E9" s="2">
        <v>131341119.21000013</v>
      </c>
      <c r="F9" s="2">
        <v>125723475.4799999</v>
      </c>
      <c r="G9" s="2">
        <v>163234143.37000021</v>
      </c>
      <c r="H9" s="2">
        <v>175859009.79999986</v>
      </c>
      <c r="I9" s="2">
        <v>161331420.65999988</v>
      </c>
      <c r="J9" s="2">
        <v>184763255.95400023</v>
      </c>
      <c r="K9" s="2">
        <v>122960600.16999996</v>
      </c>
      <c r="L9" s="2">
        <v>254249221.17172015</v>
      </c>
    </row>
    <row r="10" spans="1:12" x14ac:dyDescent="0.25">
      <c r="A10" s="1" t="s">
        <v>18</v>
      </c>
      <c r="B10" s="2">
        <v>275418.84999999998</v>
      </c>
      <c r="C10" s="2">
        <v>-2580734.04</v>
      </c>
      <c r="D10" s="2">
        <v>-555747.39</v>
      </c>
      <c r="E10" s="2">
        <v>-2410678.69</v>
      </c>
      <c r="F10" s="2">
        <v>-1667195.5</v>
      </c>
      <c r="G10" s="2">
        <v>38259.730000000003</v>
      </c>
      <c r="H10" s="2">
        <v>-54477.01</v>
      </c>
      <c r="I10" s="2">
        <v>-67393.97</v>
      </c>
      <c r="J10" s="2">
        <v>-2006088.23</v>
      </c>
      <c r="K10" s="2">
        <v>-411132.71</v>
      </c>
      <c r="L10" s="2">
        <v>-775605.14</v>
      </c>
    </row>
    <row r="11" spans="1:12" x14ac:dyDescent="0.25">
      <c r="A11" s="1" t="s">
        <v>19</v>
      </c>
      <c r="B11" s="2">
        <v>29338937.029999997</v>
      </c>
      <c r="C11" s="2">
        <v>29130371.930000003</v>
      </c>
      <c r="D11" s="2">
        <v>27651500.149999999</v>
      </c>
      <c r="E11" s="2">
        <v>31734257.179999996</v>
      </c>
      <c r="F11" s="2">
        <v>26740491.73</v>
      </c>
      <c r="G11" s="2">
        <v>16450428.100000001</v>
      </c>
      <c r="H11" s="2">
        <v>12842723.09</v>
      </c>
      <c r="I11" s="2">
        <v>13001676.420000002</v>
      </c>
      <c r="J11" s="2">
        <v>13512229.742033569</v>
      </c>
      <c r="K11" s="2">
        <v>22998547.127966434</v>
      </c>
      <c r="L11" s="2">
        <v>52037811.649999976</v>
      </c>
    </row>
    <row r="12" spans="1:12" x14ac:dyDescent="0.25">
      <c r="A12" s="1" t="s">
        <v>20</v>
      </c>
      <c r="B12" s="2">
        <v>7598708.5051499931</v>
      </c>
      <c r="C12" s="2">
        <v>7422582.1376000056</v>
      </c>
      <c r="D12" s="2">
        <v>8802713.2593215946</v>
      </c>
      <c r="E12" s="2">
        <v>7860577.8415900031</v>
      </c>
      <c r="F12" s="2">
        <v>7092715.188219998</v>
      </c>
      <c r="G12" s="2">
        <v>10657025.667990001</v>
      </c>
      <c r="H12" s="2">
        <v>6294411.0747199953</v>
      </c>
      <c r="I12" s="2">
        <v>6301033.339300001</v>
      </c>
      <c r="J12" s="2">
        <v>7793477.0156999994</v>
      </c>
      <c r="K12" s="2">
        <v>12240755.72748</v>
      </c>
      <c r="L12" s="2">
        <v>26191128.928220015</v>
      </c>
    </row>
    <row r="13" spans="1:12" x14ac:dyDescent="0.25">
      <c r="A13" s="1" t="s">
        <v>21</v>
      </c>
      <c r="B13" s="2">
        <v>2488176.0100000002</v>
      </c>
      <c r="C13" s="2">
        <v>2383415.12</v>
      </c>
      <c r="D13" s="2">
        <v>2563122.67</v>
      </c>
      <c r="E13" s="2">
        <v>2705375.88</v>
      </c>
      <c r="F13" s="2">
        <v>3005956.29</v>
      </c>
      <c r="G13" s="2">
        <v>2986516.02</v>
      </c>
      <c r="H13" s="2">
        <v>1718023.6568261993</v>
      </c>
      <c r="I13" s="2">
        <v>3260567.55</v>
      </c>
      <c r="J13" s="2">
        <v>3323186.8000000003</v>
      </c>
      <c r="K13" s="2">
        <v>3019412.9499999997</v>
      </c>
      <c r="L13" s="2">
        <v>3149712.76</v>
      </c>
    </row>
    <row r="14" spans="1:12" x14ac:dyDescent="0.25">
      <c r="A14" s="1" t="s">
        <v>22</v>
      </c>
      <c r="B14" s="2">
        <v>351239944.44389379</v>
      </c>
      <c r="C14" s="2">
        <v>287341942.415847</v>
      </c>
      <c r="D14" s="2">
        <v>286233116.79817128</v>
      </c>
      <c r="E14" s="2">
        <v>324364969.40081364</v>
      </c>
      <c r="F14" s="2">
        <v>334335484.81402355</v>
      </c>
      <c r="G14" s="2">
        <v>386782365.18527836</v>
      </c>
      <c r="H14" s="2">
        <v>303882354.27713841</v>
      </c>
      <c r="I14" s="2">
        <v>335723684.43490243</v>
      </c>
      <c r="J14" s="2">
        <v>322994391.08142442</v>
      </c>
      <c r="K14" s="2">
        <v>292539517.16546959</v>
      </c>
      <c r="L14" s="2">
        <v>470465549.99666351</v>
      </c>
    </row>
    <row r="19" spans="1:14" x14ac:dyDescent="0.25">
      <c r="A19" s="3" t="s">
        <v>23</v>
      </c>
      <c r="B19" s="4">
        <v>41275</v>
      </c>
      <c r="C19" s="4">
        <v>41306</v>
      </c>
      <c r="D19" s="4">
        <v>41334</v>
      </c>
      <c r="E19" s="4">
        <v>41365</v>
      </c>
      <c r="F19" s="4">
        <v>41395</v>
      </c>
      <c r="G19" s="4">
        <v>41426</v>
      </c>
      <c r="H19" s="4">
        <v>41456</v>
      </c>
      <c r="I19" s="4">
        <v>41487</v>
      </c>
      <c r="J19" s="4">
        <v>41518</v>
      </c>
      <c r="K19" s="4">
        <v>41548</v>
      </c>
      <c r="L19" s="5">
        <v>41579</v>
      </c>
      <c r="M19" s="5">
        <v>41621</v>
      </c>
      <c r="N19" s="269">
        <v>2013</v>
      </c>
    </row>
    <row r="20" spans="1:14" x14ac:dyDescent="0.25">
      <c r="A20" s="6" t="str">
        <f>A5</f>
        <v>Biomass/landfill</v>
      </c>
      <c r="B20" s="7">
        <f>B5/1000</f>
        <v>187.31810999999999</v>
      </c>
      <c r="C20" s="7">
        <f t="shared" ref="C20:L20" si="0">C5/1000</f>
        <v>313.08246999999994</v>
      </c>
      <c r="D20" s="7">
        <f t="shared" si="0"/>
        <v>239.95904000000004</v>
      </c>
      <c r="E20" s="7">
        <f t="shared" si="0"/>
        <v>233.74559000000002</v>
      </c>
      <c r="F20" s="7">
        <f t="shared" si="0"/>
        <v>310.86167999999998</v>
      </c>
      <c r="G20" s="7">
        <f t="shared" si="0"/>
        <v>298.81408999999996</v>
      </c>
      <c r="H20" s="7">
        <f t="shared" si="0"/>
        <v>288.10212999999999</v>
      </c>
      <c r="I20" s="7">
        <f t="shared" si="0"/>
        <v>321.947</v>
      </c>
      <c r="J20" s="7">
        <f t="shared" si="0"/>
        <v>323.29408461286539</v>
      </c>
      <c r="K20" s="7">
        <f t="shared" si="0"/>
        <v>344.21265999999997</v>
      </c>
      <c r="L20" s="8">
        <f t="shared" si="0"/>
        <v>326.76638000000003</v>
      </c>
      <c r="M20" s="8">
        <f>L20</f>
        <v>326.76638000000003</v>
      </c>
      <c r="N20" s="2">
        <f>SUM(B20:M20)/1000</f>
        <v>3.5148696146128655</v>
      </c>
    </row>
    <row r="21" spans="1:14" x14ac:dyDescent="0.25">
      <c r="A21" s="6" t="str">
        <f t="shared" ref="A21:A25" si="1">A6</f>
        <v>Conservation</v>
      </c>
      <c r="B21" s="7">
        <f t="shared" ref="B21:L25" si="2">B6/1000</f>
        <v>26303.700550000001</v>
      </c>
      <c r="C21" s="7">
        <f t="shared" si="2"/>
        <v>20030.02261</v>
      </c>
      <c r="D21" s="7">
        <f t="shared" si="2"/>
        <v>24799.552350000002</v>
      </c>
      <c r="E21" s="7">
        <f t="shared" si="2"/>
        <v>30434.905910000001</v>
      </c>
      <c r="F21" s="7">
        <f t="shared" si="2"/>
        <v>17967.066460000002</v>
      </c>
      <c r="G21" s="7">
        <f t="shared" si="2"/>
        <v>54295.210530000004</v>
      </c>
      <c r="H21" s="7">
        <f t="shared" si="2"/>
        <v>-11448.55545</v>
      </c>
      <c r="I21" s="7">
        <f t="shared" si="2"/>
        <v>22183.086789999998</v>
      </c>
      <c r="J21" s="7">
        <f t="shared" si="2"/>
        <v>22067.509239999999</v>
      </c>
      <c r="K21" s="7">
        <f t="shared" si="2"/>
        <v>23641.78096</v>
      </c>
      <c r="L21" s="8">
        <f t="shared" si="2"/>
        <v>23919.16948</v>
      </c>
      <c r="M21" s="8">
        <f t="shared" ref="M21:M27" si="3">L21</f>
        <v>23919.16948</v>
      </c>
      <c r="N21" s="2">
        <f t="shared" ref="N21:N27" si="4">SUM(B21:M21)/1000</f>
        <v>278.11261891000009</v>
      </c>
    </row>
    <row r="22" spans="1:14" x14ac:dyDescent="0.25">
      <c r="A22" s="6" t="str">
        <f t="shared" si="1"/>
        <v>Hydro</v>
      </c>
      <c r="B22" s="7">
        <f t="shared" si="2"/>
        <v>17911.962536180574</v>
      </c>
      <c r="C22" s="7">
        <f t="shared" si="2"/>
        <v>23660.24603339914</v>
      </c>
      <c r="D22" s="7">
        <f t="shared" si="2"/>
        <v>17777.26786802489</v>
      </c>
      <c r="E22" s="7">
        <f t="shared" si="2"/>
        <v>11346.634785329696</v>
      </c>
      <c r="F22" s="7">
        <f t="shared" si="2"/>
        <v>26404.406517042535</v>
      </c>
      <c r="G22" s="7">
        <f t="shared" si="2"/>
        <v>24112.710810916426</v>
      </c>
      <c r="H22" s="7">
        <f t="shared" si="2"/>
        <v>18219.151243291442</v>
      </c>
      <c r="I22" s="7">
        <f t="shared" si="2"/>
        <v>24613.782535602557</v>
      </c>
      <c r="J22" s="7">
        <f t="shared" si="2"/>
        <v>21097.635359237098</v>
      </c>
      <c r="K22" s="7">
        <f t="shared" si="2"/>
        <v>19411.946778253288</v>
      </c>
      <c r="L22" s="8">
        <f t="shared" si="2"/>
        <v>29511.621450263181</v>
      </c>
      <c r="M22" s="8">
        <f t="shared" si="3"/>
        <v>29511.621450263181</v>
      </c>
      <c r="N22" s="2">
        <f t="shared" si="4"/>
        <v>263.57898736780402</v>
      </c>
    </row>
    <row r="23" spans="1:14" x14ac:dyDescent="0.25">
      <c r="A23" s="6" t="str">
        <f t="shared" si="1"/>
        <v>Natural gas</v>
      </c>
      <c r="B23" s="7">
        <f t="shared" si="2"/>
        <v>95231.416479536943</v>
      </c>
      <c r="C23" s="7">
        <f t="shared" si="2"/>
        <v>104758.27091484808</v>
      </c>
      <c r="D23" s="7">
        <f t="shared" si="2"/>
        <v>102424.36768285098</v>
      </c>
      <c r="E23" s="7">
        <f t="shared" si="2"/>
        <v>111119.03169389382</v>
      </c>
      <c r="F23" s="7">
        <f t="shared" si="2"/>
        <v>128757.70696876106</v>
      </c>
      <c r="G23" s="7">
        <f t="shared" si="2"/>
        <v>114709.25686637168</v>
      </c>
      <c r="H23" s="7">
        <f t="shared" si="2"/>
        <v>100163.9657423009</v>
      </c>
      <c r="I23" s="7">
        <f t="shared" si="2"/>
        <v>104777.56411000002</v>
      </c>
      <c r="J23" s="7">
        <f t="shared" si="2"/>
        <v>72119.891115840699</v>
      </c>
      <c r="K23" s="7">
        <f t="shared" si="2"/>
        <v>88333.393501769911</v>
      </c>
      <c r="L23" s="8">
        <f t="shared" si="2"/>
        <v>81855.723316460178</v>
      </c>
      <c r="M23" s="8">
        <f t="shared" si="3"/>
        <v>81855.723316460178</v>
      </c>
      <c r="N23" s="2">
        <f t="shared" si="4"/>
        <v>1186.1063117090946</v>
      </c>
    </row>
    <row r="24" spans="1:14" x14ac:dyDescent="0.25">
      <c r="A24" s="6" t="str">
        <f t="shared" si="1"/>
        <v>Nuclear</v>
      </c>
      <c r="B24" s="7">
        <f t="shared" si="2"/>
        <v>171904.30637302625</v>
      </c>
      <c r="C24" s="7">
        <f t="shared" si="2"/>
        <v>102224.68523999979</v>
      </c>
      <c r="D24" s="7">
        <f t="shared" si="2"/>
        <v>102530.38116797381</v>
      </c>
      <c r="E24" s="7">
        <f t="shared" si="2"/>
        <v>131341.11921000012</v>
      </c>
      <c r="F24" s="7">
        <f t="shared" si="2"/>
        <v>125723.47547999991</v>
      </c>
      <c r="G24" s="7">
        <f t="shared" si="2"/>
        <v>163234.14337000021</v>
      </c>
      <c r="H24" s="7">
        <f t="shared" si="2"/>
        <v>175859.00979999985</v>
      </c>
      <c r="I24" s="7">
        <f t="shared" si="2"/>
        <v>161331.42065999989</v>
      </c>
      <c r="J24" s="7">
        <f t="shared" si="2"/>
        <v>184763.25595400023</v>
      </c>
      <c r="K24" s="7">
        <f t="shared" si="2"/>
        <v>122960.60016999996</v>
      </c>
      <c r="L24" s="8">
        <f t="shared" si="2"/>
        <v>254249.22117172016</v>
      </c>
      <c r="M24" s="8">
        <f t="shared" si="3"/>
        <v>254249.22117172016</v>
      </c>
      <c r="N24" s="2">
        <f t="shared" si="4"/>
        <v>1950.3708397684402</v>
      </c>
    </row>
    <row r="25" spans="1:14" x14ac:dyDescent="0.25">
      <c r="A25" s="6" t="str">
        <f t="shared" si="1"/>
        <v>Others</v>
      </c>
      <c r="B25" s="7">
        <f t="shared" si="2"/>
        <v>275.41884999999996</v>
      </c>
      <c r="C25" s="7">
        <f t="shared" si="2"/>
        <v>-2580.7340399999998</v>
      </c>
      <c r="D25" s="7">
        <f t="shared" si="2"/>
        <v>-555.74739</v>
      </c>
      <c r="E25" s="7">
        <f t="shared" si="2"/>
        <v>-2410.6786899999997</v>
      </c>
      <c r="F25" s="7">
        <f t="shared" si="2"/>
        <v>-1667.1955</v>
      </c>
      <c r="G25" s="7">
        <f t="shared" si="2"/>
        <v>38.259730000000005</v>
      </c>
      <c r="H25" s="7">
        <f t="shared" si="2"/>
        <v>-54.47701</v>
      </c>
      <c r="I25" s="7">
        <f t="shared" si="2"/>
        <v>-67.393969999999996</v>
      </c>
      <c r="J25" s="7">
        <f t="shared" si="2"/>
        <v>-2006.0882300000001</v>
      </c>
      <c r="K25" s="7">
        <f t="shared" si="2"/>
        <v>-411.13271000000003</v>
      </c>
      <c r="L25" s="8">
        <f t="shared" si="2"/>
        <v>-775.60514000000001</v>
      </c>
      <c r="M25" s="8">
        <f t="shared" si="3"/>
        <v>-775.60514000000001</v>
      </c>
      <c r="N25" s="2">
        <f t="shared" si="4"/>
        <v>-10.990979239999998</v>
      </c>
    </row>
    <row r="26" spans="1:14" x14ac:dyDescent="0.25">
      <c r="A26" s="6" t="s">
        <v>24</v>
      </c>
      <c r="B26" s="7">
        <f>(B11+B12)/1000</f>
        <v>36937.64553514999</v>
      </c>
      <c r="C26" s="7">
        <f t="shared" ref="C26:L26" si="5">(C11+C12)/1000</f>
        <v>36552.954067600011</v>
      </c>
      <c r="D26" s="7">
        <f t="shared" si="5"/>
        <v>36454.213409321594</v>
      </c>
      <c r="E26" s="7">
        <f t="shared" si="5"/>
        <v>39594.835021589999</v>
      </c>
      <c r="F26" s="7">
        <f t="shared" si="5"/>
        <v>33833.206918219999</v>
      </c>
      <c r="G26" s="7">
        <f t="shared" si="5"/>
        <v>27107.453767990002</v>
      </c>
      <c r="H26" s="7">
        <f t="shared" si="5"/>
        <v>19137.134164719995</v>
      </c>
      <c r="I26" s="7">
        <f t="shared" si="5"/>
        <v>19302.7097593</v>
      </c>
      <c r="J26" s="7">
        <f t="shared" si="5"/>
        <v>21305.706757733569</v>
      </c>
      <c r="K26" s="7">
        <f t="shared" si="5"/>
        <v>35239.302855446433</v>
      </c>
      <c r="L26" s="8">
        <f t="shared" si="5"/>
        <v>78228.94057821999</v>
      </c>
      <c r="M26" s="8">
        <f t="shared" si="3"/>
        <v>78228.94057821999</v>
      </c>
      <c r="N26" s="2">
        <f t="shared" si="4"/>
        <v>461.92304341351155</v>
      </c>
    </row>
    <row r="27" spans="1:14" x14ac:dyDescent="0.25">
      <c r="A27" s="9" t="str">
        <f>A13</f>
        <v>By-products</v>
      </c>
      <c r="B27" s="10">
        <f t="shared" ref="B27:L27" si="6">B13/1000</f>
        <v>2488.1760100000001</v>
      </c>
      <c r="C27" s="10">
        <f t="shared" si="6"/>
        <v>2383.4151200000001</v>
      </c>
      <c r="D27" s="10">
        <f t="shared" si="6"/>
        <v>2563.1226699999997</v>
      </c>
      <c r="E27" s="10">
        <f t="shared" si="6"/>
        <v>2705.3758800000001</v>
      </c>
      <c r="F27" s="10">
        <f t="shared" si="6"/>
        <v>3005.9562900000001</v>
      </c>
      <c r="G27" s="10">
        <f t="shared" si="6"/>
        <v>2986.51602</v>
      </c>
      <c r="H27" s="10">
        <f t="shared" si="6"/>
        <v>1718.0236568261992</v>
      </c>
      <c r="I27" s="10">
        <f t="shared" si="6"/>
        <v>3260.5675499999998</v>
      </c>
      <c r="J27" s="10">
        <f t="shared" si="6"/>
        <v>3323.1868000000004</v>
      </c>
      <c r="K27" s="10">
        <f t="shared" si="6"/>
        <v>3019.4129499999999</v>
      </c>
      <c r="L27" s="11">
        <f t="shared" si="6"/>
        <v>3149.7127599999999</v>
      </c>
      <c r="M27" s="8">
        <f t="shared" si="3"/>
        <v>3149.7127599999999</v>
      </c>
      <c r="N27" s="2">
        <f t="shared" si="4"/>
        <v>33.753178466826199</v>
      </c>
    </row>
    <row r="28" spans="1:14" x14ac:dyDescent="0.25">
      <c r="A28" s="3" t="s">
        <v>25</v>
      </c>
      <c r="B28" s="12">
        <f>SUM(B20:B27)</f>
        <v>351239.94444389379</v>
      </c>
      <c r="C28" s="12">
        <f t="shared" ref="C28:L28" si="7">SUM(C20:C27)</f>
        <v>287341.94241584704</v>
      </c>
      <c r="D28" s="12">
        <f t="shared" si="7"/>
        <v>286233.11679817125</v>
      </c>
      <c r="E28" s="12">
        <f t="shared" si="7"/>
        <v>324364.96940081363</v>
      </c>
      <c r="F28" s="12">
        <f t="shared" si="7"/>
        <v>334335.48481402348</v>
      </c>
      <c r="G28" s="12">
        <f t="shared" si="7"/>
        <v>386782.36518527829</v>
      </c>
      <c r="H28" s="12">
        <f t="shared" si="7"/>
        <v>303882.35427713842</v>
      </c>
      <c r="I28" s="12">
        <f t="shared" si="7"/>
        <v>335723.68443490245</v>
      </c>
      <c r="J28" s="12">
        <f t="shared" si="7"/>
        <v>322994.39108142455</v>
      </c>
      <c r="K28" s="12">
        <f t="shared" si="7"/>
        <v>292539.51716546959</v>
      </c>
      <c r="L28" s="13">
        <f t="shared" si="7"/>
        <v>470465.54999666353</v>
      </c>
      <c r="M28" s="13">
        <f t="shared" ref="M28" si="8">SUM(M20:M27)</f>
        <v>470465.54999666353</v>
      </c>
    </row>
    <row r="29" spans="1:14" x14ac:dyDescent="0.25">
      <c r="B29" s="2"/>
      <c r="C29" s="2"/>
      <c r="D29" s="2"/>
      <c r="E29" s="2"/>
      <c r="F29" s="2"/>
      <c r="G29" s="2"/>
      <c r="H29" s="2"/>
      <c r="I29" s="2"/>
      <c r="J29" s="2"/>
      <c r="K29" s="2"/>
      <c r="L29" s="2"/>
    </row>
    <row r="31" spans="1:14" x14ac:dyDescent="0.25">
      <c r="B31" s="2"/>
      <c r="C31" s="2"/>
      <c r="D31" s="2"/>
      <c r="E31" s="2"/>
      <c r="F31" s="2"/>
      <c r="G31" s="2"/>
      <c r="H31" s="2"/>
      <c r="I31" s="2"/>
      <c r="J31" s="2"/>
      <c r="K31" s="2"/>
      <c r="L31" s="2"/>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4"/>
  <sheetViews>
    <sheetView showGridLines="0" tabSelected="1" workbookViewId="0">
      <pane xSplit="1" ySplit="2" topLeftCell="BK3" activePane="bottomRight" state="frozen"/>
      <selection pane="topRight" activeCell="B1" sqref="B1"/>
      <selection pane="bottomLeft" activeCell="A3" sqref="A3"/>
      <selection pane="bottomRight" activeCell="BW2" sqref="BW2"/>
    </sheetView>
  </sheetViews>
  <sheetFormatPr defaultColWidth="9.140625" defaultRowHeight="12.75" x14ac:dyDescent="0.2"/>
  <cols>
    <col min="1" max="1" width="55.28515625" style="43" bestFit="1" customWidth="1"/>
    <col min="2" max="3" width="15.42578125" style="43" bestFit="1" customWidth="1"/>
    <col min="4" max="14" width="13.42578125" style="43" customWidth="1"/>
    <col min="15" max="22" width="10.140625" style="43" customWidth="1"/>
    <col min="23" max="24" width="9.140625" style="43" customWidth="1"/>
    <col min="25" max="25" width="9.85546875" style="43" customWidth="1"/>
    <col min="26" max="61" width="9.140625" style="43"/>
    <col min="62" max="62" width="9.42578125" style="43" bestFit="1" customWidth="1"/>
    <col min="63" max="65" width="9.140625" style="43"/>
    <col min="66" max="66" width="9.42578125" style="43" bestFit="1" customWidth="1"/>
    <col min="67" max="16384" width="9.140625" style="43"/>
  </cols>
  <sheetData>
    <row r="1" spans="1:75" x14ac:dyDescent="0.2">
      <c r="A1" s="490" t="s">
        <v>264</v>
      </c>
    </row>
    <row r="2" spans="1:75" s="45" customFormat="1" x14ac:dyDescent="0.2">
      <c r="A2" s="44"/>
      <c r="B2" s="452">
        <v>42005</v>
      </c>
      <c r="C2" s="452">
        <v>42036</v>
      </c>
      <c r="D2" s="452">
        <v>42064</v>
      </c>
      <c r="E2" s="452">
        <v>42095</v>
      </c>
      <c r="F2" s="452">
        <v>42125</v>
      </c>
      <c r="G2" s="452">
        <v>42156</v>
      </c>
      <c r="H2" s="452">
        <v>42186</v>
      </c>
      <c r="I2" s="452">
        <v>42217</v>
      </c>
      <c r="J2" s="452">
        <v>42248</v>
      </c>
      <c r="K2" s="452">
        <v>42278</v>
      </c>
      <c r="L2" s="452">
        <v>42309</v>
      </c>
      <c r="M2" s="452">
        <v>42339</v>
      </c>
      <c r="N2" s="456">
        <v>42370</v>
      </c>
      <c r="O2" s="452">
        <v>42401</v>
      </c>
      <c r="P2" s="452">
        <v>42430</v>
      </c>
      <c r="Q2" s="452">
        <v>42461</v>
      </c>
      <c r="R2" s="452">
        <v>42491</v>
      </c>
      <c r="S2" s="452">
        <v>42522</v>
      </c>
      <c r="T2" s="452">
        <v>42552</v>
      </c>
      <c r="U2" s="452">
        <v>42583</v>
      </c>
      <c r="V2" s="452">
        <v>42614</v>
      </c>
      <c r="W2" s="452">
        <v>42644</v>
      </c>
      <c r="X2" s="452">
        <v>42675</v>
      </c>
      <c r="Y2" s="452">
        <v>42705</v>
      </c>
      <c r="Z2" s="452">
        <v>42736</v>
      </c>
      <c r="AA2" s="452">
        <v>42767</v>
      </c>
      <c r="AB2" s="452">
        <v>42795</v>
      </c>
      <c r="AC2" s="484">
        <v>42826</v>
      </c>
      <c r="AD2" s="484">
        <v>42856</v>
      </c>
      <c r="AE2" s="484">
        <v>42887</v>
      </c>
      <c r="AF2" s="484">
        <v>42917</v>
      </c>
      <c r="AG2" s="484">
        <v>42948</v>
      </c>
      <c r="AH2" s="484">
        <v>42979</v>
      </c>
      <c r="AI2" s="484">
        <v>43009</v>
      </c>
      <c r="AJ2" s="484">
        <v>43040</v>
      </c>
      <c r="AK2" s="484">
        <v>43070</v>
      </c>
      <c r="AL2" s="484">
        <v>43101</v>
      </c>
      <c r="AM2" s="484">
        <v>43132</v>
      </c>
      <c r="AN2" s="484">
        <v>43160</v>
      </c>
      <c r="AO2" s="484">
        <v>43191</v>
      </c>
      <c r="AP2" s="484">
        <v>43221</v>
      </c>
      <c r="AQ2" s="484">
        <v>43252</v>
      </c>
      <c r="AR2" s="484">
        <v>43282</v>
      </c>
      <c r="AS2" s="484">
        <v>43313</v>
      </c>
      <c r="AT2" s="484">
        <v>43344</v>
      </c>
      <c r="AU2" s="484">
        <v>43374</v>
      </c>
      <c r="AV2" s="484">
        <v>43405</v>
      </c>
      <c r="AW2" s="484">
        <v>43435</v>
      </c>
      <c r="AX2" s="484">
        <v>43466</v>
      </c>
      <c r="AY2" s="484">
        <v>43497</v>
      </c>
      <c r="AZ2" s="484">
        <v>43525</v>
      </c>
      <c r="BA2" s="484">
        <v>43556</v>
      </c>
      <c r="BB2" s="484">
        <v>43586</v>
      </c>
      <c r="BC2" s="484">
        <v>43617</v>
      </c>
      <c r="BD2" s="484">
        <v>43647</v>
      </c>
      <c r="BE2" s="484">
        <v>43678</v>
      </c>
      <c r="BF2" s="484">
        <v>43709</v>
      </c>
      <c r="BG2" s="484">
        <v>43739</v>
      </c>
      <c r="BH2" s="484">
        <v>43770</v>
      </c>
      <c r="BI2" s="484">
        <v>43800</v>
      </c>
      <c r="BJ2" s="484">
        <v>43831</v>
      </c>
      <c r="BK2" s="484">
        <v>43862</v>
      </c>
      <c r="BL2" s="484">
        <v>43891</v>
      </c>
      <c r="BM2" s="484">
        <v>43922</v>
      </c>
      <c r="BN2" s="484">
        <v>43952</v>
      </c>
      <c r="BO2" s="484">
        <v>43983</v>
      </c>
      <c r="BP2" s="484">
        <v>44013</v>
      </c>
      <c r="BQ2" s="484">
        <v>44044</v>
      </c>
      <c r="BR2" s="484">
        <v>44075</v>
      </c>
      <c r="BS2" s="484">
        <v>44105</v>
      </c>
      <c r="BT2" s="484">
        <v>44136</v>
      </c>
      <c r="BU2" s="484">
        <v>44166</v>
      </c>
      <c r="BV2" s="484">
        <v>44197</v>
      </c>
      <c r="BW2" s="484">
        <v>44228</v>
      </c>
    </row>
    <row r="3" spans="1:75" ht="15" x14ac:dyDescent="0.25">
      <c r="A3" s="453" t="s">
        <v>14</v>
      </c>
      <c r="B3" s="448">
        <v>23.518298659999999</v>
      </c>
      <c r="C3" s="448">
        <v>95.781745589999986</v>
      </c>
      <c r="D3" s="448">
        <v>-15.030814010000002</v>
      </c>
      <c r="E3" s="448">
        <v>35.50697426</v>
      </c>
      <c r="F3" s="448">
        <v>56.525663339999994</v>
      </c>
      <c r="G3" s="448">
        <v>0.26636775000000001</v>
      </c>
      <c r="H3" s="448">
        <v>60.315359430000001</v>
      </c>
      <c r="I3" s="448">
        <v>30.133452569999999</v>
      </c>
      <c r="J3" s="448">
        <v>44.743674240000004</v>
      </c>
      <c r="K3" s="448">
        <v>36.2694622</v>
      </c>
      <c r="L3" s="448">
        <v>54.249140509999997</v>
      </c>
      <c r="M3" s="448">
        <v>6.4551390700000004</v>
      </c>
      <c r="N3" s="457">
        <v>31.497298570000002</v>
      </c>
      <c r="O3" s="47">
        <v>43.902355790000001</v>
      </c>
      <c r="P3" s="448">
        <v>48.244579489999992</v>
      </c>
      <c r="Q3" s="448">
        <v>41.27407058</v>
      </c>
      <c r="R3" s="448">
        <v>52.689661869999995</v>
      </c>
      <c r="S3" s="448">
        <v>31.889777389999999</v>
      </c>
      <c r="T3" s="448">
        <v>47.611164450000004</v>
      </c>
      <c r="U3" s="448">
        <v>27.706425230000004</v>
      </c>
      <c r="V3" s="448">
        <v>38.836213180000001</v>
      </c>
      <c r="W3" s="448">
        <v>37.111782579999996</v>
      </c>
      <c r="X3" s="448">
        <v>27.412716719999999</v>
      </c>
      <c r="Y3" s="473">
        <v>38.920311890000001</v>
      </c>
      <c r="Z3" s="473">
        <v>68.452804529999995</v>
      </c>
      <c r="AA3" s="473">
        <v>38.04471015</v>
      </c>
      <c r="AB3" s="473">
        <v>1.2691881099999993</v>
      </c>
      <c r="AC3" s="480">
        <v>45.412481929999998</v>
      </c>
      <c r="AD3" s="480">
        <v>50.856716300000002</v>
      </c>
      <c r="AE3" s="480">
        <v>42.36846723</v>
      </c>
      <c r="AF3" s="480">
        <v>44.301589450000002</v>
      </c>
      <c r="AG3" s="480">
        <v>31.21225596</v>
      </c>
      <c r="AH3" s="480">
        <v>29.521604170000003</v>
      </c>
      <c r="AI3" s="480">
        <v>23.767704990000002</v>
      </c>
      <c r="AJ3" s="480">
        <v>28.84442876</v>
      </c>
      <c r="AK3" s="480">
        <v>39.280790509999996</v>
      </c>
      <c r="AL3" s="480">
        <v>45.649863439999997</v>
      </c>
      <c r="AM3" s="480">
        <v>31.516900700000004</v>
      </c>
      <c r="AN3" s="480">
        <v>22.051998470000001</v>
      </c>
      <c r="AO3" s="480">
        <v>37.7625052</v>
      </c>
      <c r="AP3" s="480">
        <v>31.693306259999996</v>
      </c>
      <c r="AQ3" s="480">
        <v>36.224292420000005</v>
      </c>
      <c r="AR3" s="480">
        <v>25.725099820000001</v>
      </c>
      <c r="AS3" s="480">
        <v>20.552337390000002</v>
      </c>
      <c r="AT3" s="480">
        <v>28.521618729999997</v>
      </c>
      <c r="AU3" s="480">
        <v>96.335175079999999</v>
      </c>
      <c r="AV3" s="480">
        <v>35.013540030000001</v>
      </c>
      <c r="AW3" s="480">
        <v>40.817355830000004</v>
      </c>
      <c r="AX3" s="480">
        <v>54.497301749999998</v>
      </c>
      <c r="AY3" s="480">
        <v>17.418631419999997</v>
      </c>
      <c r="AZ3" s="480">
        <v>40.292270989999992</v>
      </c>
      <c r="BA3" s="480">
        <v>30.421898740000003</v>
      </c>
      <c r="BB3" s="480">
        <v>24.520111420000003</v>
      </c>
      <c r="BC3" s="480">
        <v>18.5400341</v>
      </c>
      <c r="BD3" s="491">
        <v>24.101259099999996</v>
      </c>
      <c r="BE3" s="491">
        <v>19.711812870000003</v>
      </c>
      <c r="BF3" s="491">
        <v>22.898604030000001</v>
      </c>
      <c r="BG3" s="491">
        <v>27.628944629999999</v>
      </c>
      <c r="BH3" s="491">
        <v>46.940050819999982</v>
      </c>
      <c r="BI3" s="491">
        <v>23.710363530000002</v>
      </c>
      <c r="BJ3" s="491">
        <v>26.738182829999865</v>
      </c>
      <c r="BK3" s="491">
        <v>17.083619640000002</v>
      </c>
      <c r="BL3" s="491">
        <v>13.890695769999999</v>
      </c>
      <c r="BM3" s="491">
        <v>21.670703730000138</v>
      </c>
      <c r="BN3" s="491">
        <v>25.699176019999953</v>
      </c>
      <c r="BO3" s="491">
        <v>18.943334990000135</v>
      </c>
      <c r="BP3" s="491">
        <v>13.658847030000135</v>
      </c>
      <c r="BQ3" s="491">
        <v>18.316156879999998</v>
      </c>
      <c r="BR3" s="491">
        <v>9.8240873299999993</v>
      </c>
      <c r="BS3" s="491">
        <v>10.734946969999999</v>
      </c>
      <c r="BT3" s="491">
        <v>6.9024116399999995</v>
      </c>
      <c r="BU3" s="491">
        <v>14.67398508</v>
      </c>
      <c r="BV3" s="491">
        <v>13.313328620000002</v>
      </c>
      <c r="BW3" s="491">
        <v>49.054693990000004</v>
      </c>
    </row>
    <row r="4" spans="1:75" ht="15" x14ac:dyDescent="0.25">
      <c r="A4" s="46" t="s">
        <v>15</v>
      </c>
      <c r="B4" s="47">
        <v>47.429162579678561</v>
      </c>
      <c r="C4" s="47">
        <v>30.587099406868095</v>
      </c>
      <c r="D4" s="47">
        <v>34.254651961494957</v>
      </c>
      <c r="E4" s="47">
        <v>61.675464337299999</v>
      </c>
      <c r="F4" s="47">
        <v>55.763826689780892</v>
      </c>
      <c r="G4" s="47">
        <v>57.226599559534208</v>
      </c>
      <c r="H4" s="47">
        <v>42.288277057081686</v>
      </c>
      <c r="I4" s="47">
        <v>38.554715596372141</v>
      </c>
      <c r="J4" s="47">
        <v>35.833988478569893</v>
      </c>
      <c r="K4" s="47">
        <v>52.156625005941095</v>
      </c>
      <c r="L4" s="47">
        <v>38.250666027680111</v>
      </c>
      <c r="M4" s="47">
        <v>63.425410938570572</v>
      </c>
      <c r="N4" s="458">
        <v>67.281602818787348</v>
      </c>
      <c r="O4" s="47">
        <v>60.291170439237121</v>
      </c>
      <c r="P4" s="47">
        <v>54.802660203916219</v>
      </c>
      <c r="Q4" s="47">
        <v>53.173126669272136</v>
      </c>
      <c r="R4" s="47">
        <v>60.777244554229604</v>
      </c>
      <c r="S4" s="47">
        <v>57.667591105501721</v>
      </c>
      <c r="T4" s="47">
        <v>37.658572422994467</v>
      </c>
      <c r="U4" s="47">
        <v>42.444470082062132</v>
      </c>
      <c r="V4" s="47">
        <v>41.065676389123333</v>
      </c>
      <c r="W4" s="47">
        <v>44.218195081597699</v>
      </c>
      <c r="X4" s="47">
        <v>54.857404111760268</v>
      </c>
      <c r="Y4" s="474">
        <v>48.988846653098484</v>
      </c>
      <c r="Z4" s="474">
        <v>45.006932350609901</v>
      </c>
      <c r="AA4" s="474">
        <v>46.569417824204884</v>
      </c>
      <c r="AB4" s="474">
        <v>49.218281424280235</v>
      </c>
      <c r="AC4" s="481">
        <v>57.811232466240718</v>
      </c>
      <c r="AD4" s="481">
        <v>66.353554715699701</v>
      </c>
      <c r="AE4" s="481">
        <v>78.484129134878927</v>
      </c>
      <c r="AF4" s="481">
        <v>66.56099728278754</v>
      </c>
      <c r="AG4" s="481">
        <v>65.702247934698249</v>
      </c>
      <c r="AH4" s="481">
        <v>65.108723951612404</v>
      </c>
      <c r="AI4" s="481">
        <v>59.089246560993011</v>
      </c>
      <c r="AJ4" s="481">
        <v>65.509046831652824</v>
      </c>
      <c r="AK4" s="481">
        <v>65.276334302627617</v>
      </c>
      <c r="AL4" s="481">
        <v>68.914577814665336</v>
      </c>
      <c r="AM4" s="481">
        <v>53.293635618448405</v>
      </c>
      <c r="AN4" s="481">
        <v>61.186739001401939</v>
      </c>
      <c r="AO4" s="481">
        <v>49.986695560100763</v>
      </c>
      <c r="AP4" s="481">
        <v>65.524994396148344</v>
      </c>
      <c r="AQ4" s="481">
        <v>65.458260908246501</v>
      </c>
      <c r="AR4" s="481">
        <v>40.325055515089858</v>
      </c>
      <c r="AS4" s="481">
        <v>51.334602170943754</v>
      </c>
      <c r="AT4" s="481">
        <v>30.241862602358982</v>
      </c>
      <c r="AU4" s="481">
        <v>61.59819094185108</v>
      </c>
      <c r="AV4" s="481">
        <v>64.472780588803573</v>
      </c>
      <c r="AW4" s="481">
        <v>62.673899540000001</v>
      </c>
      <c r="AX4" s="481">
        <v>30.214429356017643</v>
      </c>
      <c r="AY4" s="481">
        <v>68.633626061991677</v>
      </c>
      <c r="AZ4" s="481">
        <v>68.674973271457162</v>
      </c>
      <c r="BA4" s="481">
        <v>59.83254583679436</v>
      </c>
      <c r="BB4" s="481">
        <v>65.180375045282659</v>
      </c>
      <c r="BC4" s="481">
        <v>101.6823367494531</v>
      </c>
      <c r="BD4" s="492">
        <v>72.37941948110209</v>
      </c>
      <c r="BE4" s="492">
        <v>57.880329359679344</v>
      </c>
      <c r="BF4" s="492">
        <v>43.201335182188515</v>
      </c>
      <c r="BG4" s="492">
        <v>51.337601991454534</v>
      </c>
      <c r="BH4" s="492">
        <v>61.499717467512966</v>
      </c>
      <c r="BI4" s="492">
        <v>42.296182280000011</v>
      </c>
      <c r="BJ4" s="492">
        <v>36.791492480000002</v>
      </c>
      <c r="BK4" s="492">
        <v>85.559356210000004</v>
      </c>
      <c r="BL4" s="492">
        <v>71.610053009999959</v>
      </c>
      <c r="BM4" s="492">
        <v>78.389229959999994</v>
      </c>
      <c r="BN4" s="492">
        <v>69.485485560000001</v>
      </c>
      <c r="BO4" s="492">
        <v>103.35055508999997</v>
      </c>
      <c r="BP4" s="492">
        <v>72.843050779999999</v>
      </c>
      <c r="BQ4" s="492">
        <v>72.597022920000001</v>
      </c>
      <c r="BR4" s="492">
        <v>47.719587959999991</v>
      </c>
      <c r="BS4" s="492">
        <v>54.602886630000008</v>
      </c>
      <c r="BT4" s="492">
        <v>59.59888472999998</v>
      </c>
      <c r="BU4" s="492">
        <v>70.791607400000046</v>
      </c>
      <c r="BV4" s="492">
        <v>61.648480620000001</v>
      </c>
      <c r="BW4" s="492">
        <v>47.187395789999982</v>
      </c>
    </row>
    <row r="5" spans="1:75" ht="15" x14ac:dyDescent="0.25">
      <c r="A5" s="447" t="s">
        <v>261</v>
      </c>
      <c r="B5" s="47">
        <v>186.01898601757085</v>
      </c>
      <c r="C5" s="47">
        <v>88.60413662170393</v>
      </c>
      <c r="D5" s="47">
        <v>247.89512797919105</v>
      </c>
      <c r="E5" s="47">
        <v>255.14826293856481</v>
      </c>
      <c r="F5" s="47">
        <v>249.36074566680742</v>
      </c>
      <c r="G5" s="47">
        <v>302.50632445554174</v>
      </c>
      <c r="H5" s="47">
        <v>290.21706331682896</v>
      </c>
      <c r="I5" s="47">
        <v>250.03826899567329</v>
      </c>
      <c r="J5" s="47">
        <v>201.17973536621182</v>
      </c>
      <c r="K5" s="47">
        <v>226.50310928948028</v>
      </c>
      <c r="L5" s="47">
        <v>357.81021618286474</v>
      </c>
      <c r="M5" s="47">
        <v>278.14247365649106</v>
      </c>
      <c r="N5" s="458">
        <v>329.79743704982303</v>
      </c>
      <c r="O5" s="47">
        <v>283.29946460419512</v>
      </c>
      <c r="P5" s="47">
        <v>343.08349606788323</v>
      </c>
      <c r="Q5" s="47">
        <v>309.86169934242815</v>
      </c>
      <c r="R5" s="47">
        <v>247.89785768953007</v>
      </c>
      <c r="S5" s="47">
        <v>254.62718413697655</v>
      </c>
      <c r="T5" s="47">
        <v>258.72875760338974</v>
      </c>
      <c r="U5" s="47">
        <v>260.14464162808332</v>
      </c>
      <c r="V5" s="47">
        <v>243.33457301458435</v>
      </c>
      <c r="W5" s="47">
        <v>262.46435055870921</v>
      </c>
      <c r="X5" s="47">
        <v>317.55089581505035</v>
      </c>
      <c r="Y5" s="474">
        <v>260.40821948568691</v>
      </c>
      <c r="Z5" s="474">
        <v>344.51529505088496</v>
      </c>
      <c r="AA5" s="474">
        <v>291.91763673713649</v>
      </c>
      <c r="AB5" s="474">
        <v>262.58004050574152</v>
      </c>
      <c r="AC5" s="481">
        <v>343.47824751013792</v>
      </c>
      <c r="AD5" s="481">
        <v>385.44361705793506</v>
      </c>
      <c r="AE5" s="481">
        <v>419.81027222611414</v>
      </c>
      <c r="AF5" s="481">
        <v>342.68299361141146</v>
      </c>
      <c r="AG5" s="481">
        <v>323.55186582113447</v>
      </c>
      <c r="AH5" s="481">
        <v>261.09904384168431</v>
      </c>
      <c r="AI5" s="481">
        <v>422.25417549507461</v>
      </c>
      <c r="AJ5" s="481">
        <v>301.34345062415548</v>
      </c>
      <c r="AK5" s="481">
        <v>408.18392461509825</v>
      </c>
      <c r="AL5" s="481">
        <v>136.42363809626343</v>
      </c>
      <c r="AM5" s="481">
        <v>124.71584753771775</v>
      </c>
      <c r="AN5" s="481">
        <v>188.80643339985596</v>
      </c>
      <c r="AO5" s="481">
        <v>198.2572467554873</v>
      </c>
      <c r="AP5" s="481">
        <v>180.57458605690621</v>
      </c>
      <c r="AQ5" s="481">
        <v>300.62337979846876</v>
      </c>
      <c r="AR5" s="481">
        <v>169.86686206835498</v>
      </c>
      <c r="AS5" s="481">
        <v>148.65526125648228</v>
      </c>
      <c r="AT5" s="481">
        <v>160.65995987698344</v>
      </c>
      <c r="AU5" s="481">
        <v>217.71588112086053</v>
      </c>
      <c r="AV5" s="481">
        <v>169.12291269968426</v>
      </c>
      <c r="AW5" s="481">
        <v>121.822384</v>
      </c>
      <c r="AX5" s="481">
        <v>198.56128079715532</v>
      </c>
      <c r="AY5" s="481">
        <v>200.27809301853284</v>
      </c>
      <c r="AZ5" s="481">
        <v>115.94366690391821</v>
      </c>
      <c r="BA5" s="481">
        <v>212.11307863552375</v>
      </c>
      <c r="BB5" s="481">
        <v>216.57982236876219</v>
      </c>
      <c r="BC5" s="481">
        <v>296.87727658321245</v>
      </c>
      <c r="BD5" s="492">
        <v>256.16156632631697</v>
      </c>
      <c r="BE5" s="492">
        <v>264.50607419361876</v>
      </c>
      <c r="BF5" s="492">
        <v>258.73227498223849</v>
      </c>
      <c r="BG5" s="492">
        <v>291.05291712000002</v>
      </c>
      <c r="BH5" s="492">
        <v>193.50343805828294</v>
      </c>
      <c r="BI5" s="492">
        <v>247.18899595120391</v>
      </c>
      <c r="BJ5" s="492">
        <v>284.77902418999997</v>
      </c>
      <c r="BK5" s="492">
        <v>254.56685612000004</v>
      </c>
      <c r="BL5" s="492">
        <v>221.45113202000002</v>
      </c>
      <c r="BM5" s="492">
        <v>253.69863724999999</v>
      </c>
      <c r="BN5" s="492">
        <v>223.11320151000001</v>
      </c>
      <c r="BO5" s="492">
        <v>214.42622744000002</v>
      </c>
      <c r="BP5" s="492">
        <v>233.24571671999999</v>
      </c>
      <c r="BQ5" s="492">
        <v>223.73004524000001</v>
      </c>
      <c r="BR5" s="492">
        <v>213.25270626999998</v>
      </c>
      <c r="BS5" s="492">
        <v>229.30214724000004</v>
      </c>
      <c r="BT5" s="492">
        <v>243.39253340000002</v>
      </c>
      <c r="BU5" s="492">
        <v>237.28643133</v>
      </c>
      <c r="BV5" s="492">
        <v>307.14026027999995</v>
      </c>
      <c r="BW5" s="492">
        <v>91.507789999999972</v>
      </c>
    </row>
    <row r="6" spans="1:75" ht="15" x14ac:dyDescent="0.25">
      <c r="A6" s="447" t="s">
        <v>262</v>
      </c>
      <c r="B6" s="47"/>
      <c r="C6" s="47"/>
      <c r="D6" s="47"/>
      <c r="E6" s="47"/>
      <c r="F6" s="47"/>
      <c r="G6" s="47"/>
      <c r="H6" s="47"/>
      <c r="I6" s="47"/>
      <c r="J6" s="47"/>
      <c r="K6" s="47"/>
      <c r="L6" s="47"/>
      <c r="M6" s="47"/>
      <c r="N6" s="458"/>
      <c r="O6" s="47"/>
      <c r="P6" s="47"/>
      <c r="Q6" s="47"/>
      <c r="R6" s="47"/>
      <c r="S6" s="47"/>
      <c r="T6" s="47"/>
      <c r="U6" s="47"/>
      <c r="V6" s="47"/>
      <c r="W6" s="47"/>
      <c r="X6" s="47"/>
      <c r="Y6" s="474"/>
      <c r="Z6" s="474"/>
      <c r="AA6" s="474"/>
      <c r="AB6" s="474"/>
      <c r="AC6" s="481"/>
      <c r="AD6" s="481"/>
      <c r="AE6" s="481"/>
      <c r="AF6" s="481"/>
      <c r="AG6" s="481"/>
      <c r="AH6" s="481"/>
      <c r="AI6" s="481"/>
      <c r="AJ6" s="481"/>
      <c r="AK6" s="481"/>
      <c r="AL6" s="481">
        <v>98.069360103866558</v>
      </c>
      <c r="AM6" s="481">
        <v>116.62813568778759</v>
      </c>
      <c r="AN6" s="481">
        <v>115.06970025615469</v>
      </c>
      <c r="AO6" s="481">
        <v>103.94410311252746</v>
      </c>
      <c r="AP6" s="481">
        <v>114.21844417955754</v>
      </c>
      <c r="AQ6" s="481">
        <v>125.166190210354</v>
      </c>
      <c r="AR6" s="481">
        <v>95.52928124088497</v>
      </c>
      <c r="AS6" s="481">
        <v>100.96000088982302</v>
      </c>
      <c r="AT6" s="481">
        <v>95.180750523451323</v>
      </c>
      <c r="AU6" s="481">
        <v>106.74945508672569</v>
      </c>
      <c r="AV6" s="481">
        <v>118.80687669991266</v>
      </c>
      <c r="AW6" s="481">
        <v>106.53053300000001</v>
      </c>
      <c r="AX6" s="481">
        <v>97.655806486581668</v>
      </c>
      <c r="AY6" s="481">
        <v>105.91947587442479</v>
      </c>
      <c r="AZ6" s="481">
        <v>97.433205363279498</v>
      </c>
      <c r="BA6" s="481">
        <v>113.9307379186602</v>
      </c>
      <c r="BB6" s="481">
        <v>91.146599729203572</v>
      </c>
      <c r="BC6" s="481">
        <v>95.882300497256637</v>
      </c>
      <c r="BD6" s="492">
        <v>103.17211907076992</v>
      </c>
      <c r="BE6" s="492">
        <v>98.64079953805313</v>
      </c>
      <c r="BF6" s="492">
        <v>103.28985001347598</v>
      </c>
      <c r="BG6" s="492">
        <v>104.87157151663719</v>
      </c>
      <c r="BH6" s="492">
        <v>88.6</v>
      </c>
      <c r="BI6" s="492">
        <v>97.215329940000046</v>
      </c>
      <c r="BJ6" s="492">
        <v>77.906760030000015</v>
      </c>
      <c r="BK6" s="492">
        <v>109.7308912</v>
      </c>
      <c r="BL6" s="492">
        <v>103.68138250999999</v>
      </c>
      <c r="BM6" s="492">
        <v>124.61088649000001</v>
      </c>
      <c r="BN6" s="492">
        <v>116.88974766</v>
      </c>
      <c r="BO6" s="492">
        <v>116.81609229999994</v>
      </c>
      <c r="BP6" s="492">
        <v>101.13721934000002</v>
      </c>
      <c r="BQ6" s="492">
        <v>111.08967758000003</v>
      </c>
      <c r="BR6" s="492">
        <v>116.38777100000001</v>
      </c>
      <c r="BS6" s="492">
        <v>126.12432064999999</v>
      </c>
      <c r="BT6" s="492">
        <v>106.43500538000001</v>
      </c>
      <c r="BU6" s="492">
        <v>123.37461208000002</v>
      </c>
      <c r="BV6" s="492">
        <v>122.72715478000001</v>
      </c>
      <c r="BW6" s="492">
        <v>107.92984404870353</v>
      </c>
    </row>
    <row r="7" spans="1:75" ht="15" x14ac:dyDescent="0.25">
      <c r="A7" s="447" t="s">
        <v>260</v>
      </c>
      <c r="B7" s="47">
        <v>3.6541111742154579</v>
      </c>
      <c r="C7" s="47">
        <v>3.0822788354630144</v>
      </c>
      <c r="D7" s="47">
        <v>3.1376228606344965</v>
      </c>
      <c r="E7" s="47">
        <v>-0.11813133251499047</v>
      </c>
      <c r="F7" s="47">
        <v>6.5436804182890222</v>
      </c>
      <c r="G7" s="47">
        <v>5.8199585034562844</v>
      </c>
      <c r="H7" s="47">
        <v>5.8690600949353176</v>
      </c>
      <c r="I7" s="47">
        <v>3.9680546046111003</v>
      </c>
      <c r="J7" s="47">
        <v>2.5965466773864332</v>
      </c>
      <c r="K7" s="47">
        <v>1.3468078457721198</v>
      </c>
      <c r="L7" s="47">
        <v>2.3865455938170368</v>
      </c>
      <c r="M7" s="47">
        <v>7.9635294691856693</v>
      </c>
      <c r="N7" s="458">
        <v>-5.1793268747410734E-2</v>
      </c>
      <c r="O7" s="47">
        <v>5.0095641752038631</v>
      </c>
      <c r="P7" s="47">
        <v>6.4180850237126519</v>
      </c>
      <c r="Q7" s="47">
        <v>3.3329078066314617</v>
      </c>
      <c r="R7" s="47">
        <v>6.7495949922362586</v>
      </c>
      <c r="S7" s="47">
        <v>7.2477792078189704</v>
      </c>
      <c r="T7" s="47">
        <v>3.9881519778196992</v>
      </c>
      <c r="U7" s="47">
        <v>4.7570281492579145</v>
      </c>
      <c r="V7" s="47">
        <v>2.9393979187010677</v>
      </c>
      <c r="W7" s="47">
        <v>7.2685411750418263</v>
      </c>
      <c r="X7" s="47">
        <v>5.120783061212447</v>
      </c>
      <c r="Y7" s="474">
        <v>7.3964059674597005</v>
      </c>
      <c r="Z7" s="474">
        <v>5.5564233152441922</v>
      </c>
      <c r="AA7" s="474">
        <v>5.0605199870433841</v>
      </c>
      <c r="AB7" s="474">
        <v>5.5348486887014321</v>
      </c>
      <c r="AC7" s="481">
        <v>5.2240758170516015</v>
      </c>
      <c r="AD7" s="481">
        <v>6.2398275187014312</v>
      </c>
      <c r="AE7" s="481">
        <v>7.4849942087014298</v>
      </c>
      <c r="AF7" s="481">
        <v>6.6159385287014327</v>
      </c>
      <c r="AG7" s="481">
        <v>5.6870766487014288</v>
      </c>
      <c r="AH7" s="481">
        <v>4.4556205287014317</v>
      </c>
      <c r="AI7" s="481">
        <v>5.04420609926661</v>
      </c>
      <c r="AJ7" s="481">
        <v>6.5498681540681236</v>
      </c>
      <c r="AK7" s="481">
        <v>4.3163783867553436</v>
      </c>
      <c r="AL7" s="481">
        <v>5.4490739106475212</v>
      </c>
      <c r="AM7" s="481">
        <v>0.23164085155474215</v>
      </c>
      <c r="AN7" s="481">
        <v>8.1659546119460877</v>
      </c>
      <c r="AO7" s="481">
        <v>1.6543603200000017</v>
      </c>
      <c r="AP7" s="481">
        <v>6.2501313241935463</v>
      </c>
      <c r="AQ7" s="481">
        <v>5.3305861279296849</v>
      </c>
      <c r="AR7" s="481">
        <v>7.3660922520703123</v>
      </c>
      <c r="AS7" s="481">
        <v>4.933156320000001</v>
      </c>
      <c r="AT7" s="481">
        <v>8.7635431600000029</v>
      </c>
      <c r="AU7" s="481">
        <v>4.5225139077843526</v>
      </c>
      <c r="AV7" s="481">
        <v>8.0622821399999989</v>
      </c>
      <c r="AW7" s="481">
        <v>1.5578540000000001</v>
      </c>
      <c r="AX7" s="481">
        <v>8.2949271458467742</v>
      </c>
      <c r="AY7" s="481">
        <v>5.4656106099999997</v>
      </c>
      <c r="AZ7" s="481">
        <v>6.2186628000000006</v>
      </c>
      <c r="BA7" s="481">
        <v>4.8961691500000004</v>
      </c>
      <c r="BB7" s="481">
        <v>8.0338213100000004</v>
      </c>
      <c r="BC7" s="481">
        <v>7.3975199689285729</v>
      </c>
      <c r="BD7" s="492">
        <v>7.8196126449206345</v>
      </c>
      <c r="BE7" s="492">
        <v>5.5588187971825391</v>
      </c>
      <c r="BF7" s="492">
        <v>8.4788663950755279</v>
      </c>
      <c r="BG7" s="492">
        <v>8.5946179237896825</v>
      </c>
      <c r="BH7" s="492">
        <v>7.6384079102627416</v>
      </c>
      <c r="BI7" s="492">
        <v>7.1111344499999962</v>
      </c>
      <c r="BJ7" s="492">
        <v>3.2179160599999999</v>
      </c>
      <c r="BK7" s="492">
        <v>8.7110747900000014</v>
      </c>
      <c r="BL7" s="492">
        <v>12.283101709999997</v>
      </c>
      <c r="BM7" s="492">
        <v>7.7091677300000008</v>
      </c>
      <c r="BN7" s="492">
        <v>7.586462309999999</v>
      </c>
      <c r="BO7" s="492">
        <v>8.8249478799999981</v>
      </c>
      <c r="BP7" s="492">
        <v>6.6119630700000007</v>
      </c>
      <c r="BQ7" s="492">
        <v>7.9292820199999996</v>
      </c>
      <c r="BR7" s="492">
        <v>6.0309413500000026</v>
      </c>
      <c r="BS7" s="492">
        <v>8.3525899500000023</v>
      </c>
      <c r="BT7" s="492">
        <v>6.0008271599999992</v>
      </c>
      <c r="BU7" s="492">
        <v>6.4704204199999991</v>
      </c>
      <c r="BV7" s="492">
        <v>9.3027501400000006</v>
      </c>
      <c r="BW7" s="492">
        <v>-8.9671020000000365E-2</v>
      </c>
    </row>
    <row r="8" spans="1:75" ht="15" x14ac:dyDescent="0.25">
      <c r="A8" s="46" t="s">
        <v>256</v>
      </c>
      <c r="B8" s="47">
        <v>-11.177774769999999</v>
      </c>
      <c r="C8" s="47">
        <v>-2.3019338300000003</v>
      </c>
      <c r="D8" s="47">
        <v>-0.22681309999999999</v>
      </c>
      <c r="E8" s="47">
        <v>-6.0731179499999994</v>
      </c>
      <c r="F8" s="47">
        <v>-6.4791201900000006</v>
      </c>
      <c r="G8" s="47">
        <v>4.9324890000000017E-2</v>
      </c>
      <c r="H8" s="47">
        <v>-0.23619346999999996</v>
      </c>
      <c r="I8" s="47">
        <v>-1.05021356</v>
      </c>
      <c r="J8" s="47">
        <v>43.535473480000007</v>
      </c>
      <c r="K8" s="47">
        <v>-44.056693010000004</v>
      </c>
      <c r="L8" s="47">
        <v>-0.99749686999999998</v>
      </c>
      <c r="M8" s="47">
        <v>0.12287830000000001</v>
      </c>
      <c r="N8" s="458">
        <v>0.88265198999999994</v>
      </c>
      <c r="O8" s="47">
        <v>0.53200570999999997</v>
      </c>
      <c r="P8" s="47">
        <v>-6.3469580499999996</v>
      </c>
      <c r="Q8" s="47">
        <v>0.29809564</v>
      </c>
      <c r="R8" s="47">
        <v>-2.93465227</v>
      </c>
      <c r="S8" s="47">
        <v>0.97888651999999998</v>
      </c>
      <c r="T8" s="47">
        <v>0.79004732000000011</v>
      </c>
      <c r="U8" s="47">
        <v>9.6079109999999995E-2</v>
      </c>
      <c r="V8" s="47">
        <v>-4.0037623199999999</v>
      </c>
      <c r="W8" s="47">
        <v>0.37835108999999995</v>
      </c>
      <c r="X8" s="47">
        <v>2.8069162199999997</v>
      </c>
      <c r="Y8" s="474">
        <v>0.20255426999999998</v>
      </c>
      <c r="Z8" s="474">
        <v>-32.742091000000002</v>
      </c>
      <c r="AA8" s="474">
        <v>-8.3894750000000004E-2</v>
      </c>
      <c r="AB8" s="474">
        <v>0.35117277000000002</v>
      </c>
      <c r="AC8" s="481">
        <v>0.45333565000000003</v>
      </c>
      <c r="AD8" s="481">
        <v>-0.49380484999999996</v>
      </c>
      <c r="AE8" s="481">
        <v>-1.95446075</v>
      </c>
      <c r="AF8" s="481">
        <v>0.91213938999999999</v>
      </c>
      <c r="AG8" s="481">
        <v>0.16358500000000001</v>
      </c>
      <c r="AH8" s="481">
        <v>2.8346049999999998E-2</v>
      </c>
      <c r="AI8" s="481">
        <v>-0.22295485000000001</v>
      </c>
      <c r="AJ8" s="481">
        <v>8.2214889999999999E-2</v>
      </c>
      <c r="AK8" s="481">
        <v>1.106E-2</v>
      </c>
      <c r="AL8" s="481">
        <v>3.9865320000000003E-2</v>
      </c>
      <c r="AM8" s="481">
        <v>0.65312731999999996</v>
      </c>
      <c r="AN8" s="481">
        <v>0.24498926000000001</v>
      </c>
      <c r="AO8" s="481">
        <v>0.28301062999999999</v>
      </c>
      <c r="AP8" s="481">
        <v>9.879460000000001E-2</v>
      </c>
      <c r="AQ8" s="481">
        <v>0.43344175000000001</v>
      </c>
      <c r="AR8" s="481">
        <v>0.39708199999999999</v>
      </c>
      <c r="AS8" s="481">
        <v>0.1179765</v>
      </c>
      <c r="AT8" s="481">
        <v>0.23098099999999999</v>
      </c>
      <c r="AU8" s="481">
        <v>0.45999656999999994</v>
      </c>
      <c r="AV8" s="481">
        <v>0.18028660000000002</v>
      </c>
      <c r="AW8" s="481">
        <v>6.8890000000000002E-3</v>
      </c>
      <c r="AX8" s="481">
        <v>0.71156463999999997</v>
      </c>
      <c r="AY8" s="481">
        <v>-0.12868182</v>
      </c>
      <c r="AZ8" s="481">
        <v>1.11324925</v>
      </c>
      <c r="BA8" s="481">
        <v>0.73643526000000004</v>
      </c>
      <c r="BB8" s="481">
        <v>-16.216049519999999</v>
      </c>
      <c r="BC8" s="481">
        <v>0.43815183000000002</v>
      </c>
      <c r="BD8" s="492">
        <v>0.20138469000000001</v>
      </c>
      <c r="BE8" s="492">
        <v>0.28456574000000001</v>
      </c>
      <c r="BF8" s="492">
        <v>-17.341274329999997</v>
      </c>
      <c r="BG8" s="492">
        <v>6.3977610000000004E-2</v>
      </c>
      <c r="BH8" s="492">
        <v>-3.2988376000000001</v>
      </c>
      <c r="BI8" s="492">
        <v>-0.15122631</v>
      </c>
      <c r="BJ8" s="492">
        <v>-41.496600000000001</v>
      </c>
      <c r="BK8" s="492">
        <v>-0.22894847999999998</v>
      </c>
      <c r="BL8" s="492">
        <v>-4.4082232899999987</v>
      </c>
      <c r="BM8" s="492">
        <v>22.503288870000002</v>
      </c>
      <c r="BN8" s="492">
        <v>0.35372068000000001</v>
      </c>
      <c r="BO8" s="492">
        <v>-0.47688459999999999</v>
      </c>
      <c r="BP8" s="492">
        <v>0.68570621999999992</v>
      </c>
      <c r="BQ8" s="492">
        <v>2.2286373999999998</v>
      </c>
      <c r="BR8" s="492">
        <v>0.16654933999999999</v>
      </c>
      <c r="BS8" s="492">
        <v>0.31807420000000003</v>
      </c>
      <c r="BT8" s="492">
        <v>0.26364312000000001</v>
      </c>
      <c r="BU8" s="492">
        <v>1.1940863799999999</v>
      </c>
      <c r="BV8" s="492">
        <v>-0.36428463</v>
      </c>
      <c r="BW8" s="492">
        <v>0.27304713999999997</v>
      </c>
    </row>
    <row r="9" spans="1:75" ht="15" x14ac:dyDescent="0.25">
      <c r="A9" s="447" t="s">
        <v>19</v>
      </c>
      <c r="B9" s="47">
        <v>91.191766874490085</v>
      </c>
      <c r="C9" s="47">
        <v>111.84307257460996</v>
      </c>
      <c r="D9" s="47">
        <v>88.393995930579962</v>
      </c>
      <c r="E9" s="47">
        <v>127.29952195081998</v>
      </c>
      <c r="F9" s="47">
        <v>90.721698880920002</v>
      </c>
      <c r="G9" s="47">
        <v>93.971750899379984</v>
      </c>
      <c r="H9" s="47">
        <v>66.622141046600049</v>
      </c>
      <c r="I9" s="47">
        <v>74.918080121795953</v>
      </c>
      <c r="J9" s="47">
        <v>70.773367329999999</v>
      </c>
      <c r="K9" s="47">
        <v>114.74037154999991</v>
      </c>
      <c r="L9" s="47">
        <v>162.57690055056005</v>
      </c>
      <c r="M9" s="47">
        <v>163.30524834590994</v>
      </c>
      <c r="N9" s="458">
        <v>175.10558768999999</v>
      </c>
      <c r="O9" s="47">
        <v>173.12645631000001</v>
      </c>
      <c r="P9" s="47">
        <v>111.76199558000002</v>
      </c>
      <c r="Q9" s="47">
        <v>123.33964569000001</v>
      </c>
      <c r="R9" s="47">
        <v>133.58204087999999</v>
      </c>
      <c r="S9" s="47">
        <v>107.07064441</v>
      </c>
      <c r="T9" s="47">
        <v>94.337836759999988</v>
      </c>
      <c r="U9" s="47">
        <v>84.118553230000003</v>
      </c>
      <c r="V9" s="47">
        <v>69.639699359999994</v>
      </c>
      <c r="W9" s="47">
        <v>103.77389841999999</v>
      </c>
      <c r="X9" s="47">
        <v>163.22347764000006</v>
      </c>
      <c r="Y9" s="474">
        <v>212.58104942999998</v>
      </c>
      <c r="Z9" s="474">
        <v>175.74842075000001</v>
      </c>
      <c r="AA9" s="474">
        <v>202.05534610999999</v>
      </c>
      <c r="AB9" s="474">
        <v>158.13704092</v>
      </c>
      <c r="AC9" s="481">
        <v>113.08179616000001</v>
      </c>
      <c r="AD9" s="481">
        <v>139.77258661999997</v>
      </c>
      <c r="AE9" s="481">
        <v>148.99789724999997</v>
      </c>
      <c r="AF9" s="481">
        <v>133.0194485788</v>
      </c>
      <c r="AG9" s="481">
        <v>129.34598592000003</v>
      </c>
      <c r="AH9" s="481">
        <v>48.519955329999995</v>
      </c>
      <c r="AI9" s="481">
        <v>125.53935987999999</v>
      </c>
      <c r="AJ9" s="481">
        <v>155.15807658533333</v>
      </c>
      <c r="AK9" s="481">
        <v>208.39171328999998</v>
      </c>
      <c r="AL9" s="481">
        <v>232.57181105000004</v>
      </c>
      <c r="AM9" s="481">
        <v>189.23970262999998</v>
      </c>
      <c r="AN9" s="481">
        <v>142.46075268999999</v>
      </c>
      <c r="AO9" s="481">
        <v>179.05601867000001</v>
      </c>
      <c r="AP9" s="481">
        <v>96.215640189999988</v>
      </c>
      <c r="AQ9" s="481">
        <v>112.20506782000002</v>
      </c>
      <c r="AR9" s="481">
        <v>112.28808578</v>
      </c>
      <c r="AS9" s="481">
        <v>75.989373260000008</v>
      </c>
      <c r="AT9" s="481">
        <v>96.224401139999998</v>
      </c>
      <c r="AU9" s="481">
        <v>141.99326721</v>
      </c>
      <c r="AV9" s="481">
        <v>167.15429298000001</v>
      </c>
      <c r="AW9" s="481">
        <v>181.81572968</v>
      </c>
      <c r="AX9" s="481">
        <v>195.95984847999998</v>
      </c>
      <c r="AY9" s="481">
        <v>172.63793552000001</v>
      </c>
      <c r="AZ9" s="481">
        <v>166.16154870000005</v>
      </c>
      <c r="BA9" s="481">
        <v>163.59903546000001</v>
      </c>
      <c r="BB9" s="481">
        <v>130.99008278000002</v>
      </c>
      <c r="BC9" s="481">
        <v>62.93707388233333</v>
      </c>
      <c r="BD9" s="492">
        <v>116.52570901000001</v>
      </c>
      <c r="BE9" s="492">
        <v>129.99993631999999</v>
      </c>
      <c r="BF9" s="492">
        <v>104.4918108</v>
      </c>
      <c r="BG9" s="492">
        <v>161.24061301999998</v>
      </c>
      <c r="BH9" s="492">
        <v>176.03503005000002</v>
      </c>
      <c r="BI9" s="492">
        <v>213.01594165999992</v>
      </c>
      <c r="BJ9" s="492">
        <v>242.99547532999998</v>
      </c>
      <c r="BK9" s="492">
        <v>203.56356467000001</v>
      </c>
      <c r="BL9" s="492">
        <v>182.89679088999998</v>
      </c>
      <c r="BM9" s="492">
        <v>154.51950854</v>
      </c>
      <c r="BN9" s="492">
        <v>180.88572196000001</v>
      </c>
      <c r="BO9" s="492">
        <v>118.52205718</v>
      </c>
      <c r="BP9" s="492">
        <v>114.50756462000001</v>
      </c>
      <c r="BQ9" s="492">
        <v>87.342198230000008</v>
      </c>
      <c r="BR9" s="492">
        <v>116.63817259000001</v>
      </c>
      <c r="BS9" s="492">
        <v>179.64149947000004</v>
      </c>
      <c r="BT9" s="492">
        <v>175.58131508999998</v>
      </c>
      <c r="BU9" s="492">
        <v>244.55781371000003</v>
      </c>
      <c r="BV9" s="492">
        <v>216.25167734999997</v>
      </c>
      <c r="BW9" s="492">
        <v>147.58240660000001</v>
      </c>
    </row>
    <row r="10" spans="1:75" ht="15" x14ac:dyDescent="0.25">
      <c r="A10" s="447" t="s">
        <v>255</v>
      </c>
      <c r="B10" s="47">
        <v>31.022764710000001</v>
      </c>
      <c r="C10" s="47">
        <v>42.656883129999997</v>
      </c>
      <c r="D10" s="47">
        <v>49.796801710000011</v>
      </c>
      <c r="E10" s="47">
        <v>114.04071946999998</v>
      </c>
      <c r="F10" s="47">
        <v>129.07603734</v>
      </c>
      <c r="G10" s="47">
        <v>148.53185784999999</v>
      </c>
      <c r="H10" s="47">
        <v>143.98453687</v>
      </c>
      <c r="I10" s="47">
        <v>159.98447644000004</v>
      </c>
      <c r="J10" s="47">
        <v>130.53715638999998</v>
      </c>
      <c r="K10" s="47">
        <v>120.85796847999998</v>
      </c>
      <c r="L10" s="47">
        <v>89.298589570000004</v>
      </c>
      <c r="M10" s="47">
        <v>63.640836480000004</v>
      </c>
      <c r="N10" s="458">
        <v>41.185331351919992</v>
      </c>
      <c r="O10" s="47">
        <v>60.1593578146</v>
      </c>
      <c r="P10" s="47">
        <v>87.394150759999988</v>
      </c>
      <c r="Q10" s="47">
        <v>138.03629505000001</v>
      </c>
      <c r="R10" s="47">
        <v>181.80492993000004</v>
      </c>
      <c r="S10" s="47">
        <v>205.78230320999998</v>
      </c>
      <c r="T10" s="47">
        <v>205.39811146</v>
      </c>
      <c r="U10" s="47">
        <v>194.78126188999997</v>
      </c>
      <c r="V10" s="47">
        <v>179.58899680000002</v>
      </c>
      <c r="W10" s="47">
        <v>155.56620996000001</v>
      </c>
      <c r="X10" s="47">
        <v>108.41870476999999</v>
      </c>
      <c r="Y10" s="474">
        <v>71.84097014999999</v>
      </c>
      <c r="Z10" s="474">
        <v>38.103569419999999</v>
      </c>
      <c r="AA10" s="474">
        <v>53.655697679999989</v>
      </c>
      <c r="AB10" s="474">
        <v>103.14668340999999</v>
      </c>
      <c r="AC10" s="481">
        <v>138.5694475</v>
      </c>
      <c r="AD10" s="481">
        <v>163.59220162</v>
      </c>
      <c r="AE10" s="481">
        <v>180.53671281000004</v>
      </c>
      <c r="AF10" s="481">
        <v>193.54149149999998</v>
      </c>
      <c r="AG10" s="481">
        <v>199.81204557999996</v>
      </c>
      <c r="AH10" s="481">
        <v>187.38431111000003</v>
      </c>
      <c r="AI10" s="481">
        <v>165.42857469999998</v>
      </c>
      <c r="AJ10" s="481">
        <v>104.96663768000002</v>
      </c>
      <c r="AK10" s="481">
        <v>65.383754400000001</v>
      </c>
      <c r="AL10" s="481">
        <v>34.592510209999993</v>
      </c>
      <c r="AM10" s="481">
        <v>54.919721330000002</v>
      </c>
      <c r="AN10" s="481">
        <v>91.088084400000014</v>
      </c>
      <c r="AO10" s="481">
        <v>156.11314235999996</v>
      </c>
      <c r="AP10" s="481">
        <v>174.75643423999998</v>
      </c>
      <c r="AQ10" s="481">
        <v>215.16673428000001</v>
      </c>
      <c r="AR10" s="481">
        <v>208.62612353000003</v>
      </c>
      <c r="AS10" s="481">
        <v>204.7004732</v>
      </c>
      <c r="AT10" s="481">
        <v>169.42786697999998</v>
      </c>
      <c r="AU10" s="481">
        <v>133.69300107000004</v>
      </c>
      <c r="AV10" s="481">
        <v>85.173806460000009</v>
      </c>
      <c r="AW10" s="481">
        <v>43.85217381999999</v>
      </c>
      <c r="AX10" s="481">
        <v>46.099558320000007</v>
      </c>
      <c r="AY10" s="481">
        <v>62.167562500000003</v>
      </c>
      <c r="AZ10" s="481">
        <v>83.82549911000001</v>
      </c>
      <c r="BA10" s="481">
        <v>158.75053296999997</v>
      </c>
      <c r="BB10" s="481">
        <v>159.69748218999999</v>
      </c>
      <c r="BC10" s="481">
        <v>178.79403847</v>
      </c>
      <c r="BD10" s="492">
        <v>214.90000641999995</v>
      </c>
      <c r="BE10" s="492">
        <v>347.95145932000003</v>
      </c>
      <c r="BF10" s="492">
        <v>180.49240744000002</v>
      </c>
      <c r="BG10" s="492">
        <v>122.26429503999999</v>
      </c>
      <c r="BH10" s="492">
        <v>60.8</v>
      </c>
      <c r="BI10" s="492">
        <v>46.542190180000006</v>
      </c>
      <c r="BJ10" s="492">
        <v>32.233418559999997</v>
      </c>
      <c r="BK10" s="492">
        <v>72.780541280000023</v>
      </c>
      <c r="BL10" s="492">
        <v>134.1677421</v>
      </c>
      <c r="BM10" s="492">
        <v>172.01547055</v>
      </c>
      <c r="BN10" s="492">
        <v>203.00613670999991</v>
      </c>
      <c r="BO10" s="492">
        <v>223.15431036000001</v>
      </c>
      <c r="BP10" s="492">
        <v>238.83133898</v>
      </c>
      <c r="BQ10" s="492">
        <v>206.94981577999997</v>
      </c>
      <c r="BR10" s="492">
        <v>180.22909863999999</v>
      </c>
      <c r="BS10" s="492">
        <v>118.58713898000003</v>
      </c>
      <c r="BT10" s="492">
        <v>79.524378860000013</v>
      </c>
      <c r="BU10" s="492">
        <v>49.688323029999999</v>
      </c>
      <c r="BV10" s="492">
        <v>27.800117259999997</v>
      </c>
      <c r="BW10" s="492">
        <v>78.09497217000002</v>
      </c>
    </row>
    <row r="11" spans="1:75" ht="15" x14ac:dyDescent="0.25">
      <c r="A11" s="447" t="s">
        <v>257</v>
      </c>
      <c r="B11" s="47">
        <v>18.273996577854817</v>
      </c>
      <c r="C11" s="47">
        <v>8.381116770000002</v>
      </c>
      <c r="D11" s="47">
        <v>21.771094269115046</v>
      </c>
      <c r="E11" s="47">
        <v>22.754390158938055</v>
      </c>
      <c r="F11" s="47">
        <v>22.597446362477879</v>
      </c>
      <c r="G11" s="47">
        <v>27.134468966849891</v>
      </c>
      <c r="H11" s="47">
        <v>23.70579742096643</v>
      </c>
      <c r="I11" s="47">
        <v>22.092725210000001</v>
      </c>
      <c r="J11" s="47">
        <v>19.997266480619473</v>
      </c>
      <c r="K11" s="47">
        <v>20.572526496519174</v>
      </c>
      <c r="L11" s="47">
        <v>24.097824223185839</v>
      </c>
      <c r="M11" s="47">
        <v>22.244719926283182</v>
      </c>
      <c r="N11" s="458">
        <v>22.77800818</v>
      </c>
      <c r="O11" s="48">
        <v>24.437590878495573</v>
      </c>
      <c r="P11" s="47">
        <v>20.220200042035398</v>
      </c>
      <c r="Q11" s="47">
        <v>25.089546180176992</v>
      </c>
      <c r="R11" s="47">
        <v>24.303799266991149</v>
      </c>
      <c r="S11" s="47">
        <v>22.194461812831857</v>
      </c>
      <c r="T11" s="47">
        <v>25.079129772831859</v>
      </c>
      <c r="U11" s="47">
        <v>21.274065306548671</v>
      </c>
      <c r="V11" s="47">
        <v>23.2726697835</v>
      </c>
      <c r="W11" s="47">
        <v>26.24463678632301</v>
      </c>
      <c r="X11" s="47">
        <v>19.057591683274332</v>
      </c>
      <c r="Y11" s="474">
        <v>24.412638950000002</v>
      </c>
      <c r="Z11" s="474">
        <v>26.432592581592917</v>
      </c>
      <c r="AA11" s="474">
        <v>22.782822619380525</v>
      </c>
      <c r="AB11" s="474">
        <v>21.573136948053101</v>
      </c>
      <c r="AC11" s="481">
        <v>24.480665583008847</v>
      </c>
      <c r="AD11" s="481">
        <v>26.541728064513268</v>
      </c>
      <c r="AE11" s="481">
        <v>23.594633207522126</v>
      </c>
      <c r="AF11" s="481">
        <v>24.499522602920354</v>
      </c>
      <c r="AG11" s="481">
        <v>23.614685427522126</v>
      </c>
      <c r="AH11" s="481">
        <v>23.19883186982301</v>
      </c>
      <c r="AI11" s="481">
        <v>23.596959616725666</v>
      </c>
      <c r="AJ11" s="481">
        <v>23.517053381681418</v>
      </c>
      <c r="AK11" s="481">
        <v>22.808558779823009</v>
      </c>
      <c r="AL11" s="481">
        <v>19.65884754159292</v>
      </c>
      <c r="AM11" s="481">
        <v>24.473716411061947</v>
      </c>
      <c r="AN11" s="481">
        <v>23.376588373982305</v>
      </c>
      <c r="AO11" s="481">
        <v>21.438823210353981</v>
      </c>
      <c r="AP11" s="481">
        <v>21.076662052389381</v>
      </c>
      <c r="AQ11" s="481">
        <v>24.908643168165977</v>
      </c>
      <c r="AR11" s="481">
        <v>21.148796889203542</v>
      </c>
      <c r="AS11" s="481">
        <v>24.04569213955752</v>
      </c>
      <c r="AT11" s="481">
        <v>22.689947479999997</v>
      </c>
      <c r="AU11" s="481">
        <v>23.266321929999997</v>
      </c>
      <c r="AV11" s="481">
        <v>18.48507742</v>
      </c>
      <c r="AW11" s="481">
        <v>17.881836810000003</v>
      </c>
      <c r="AX11" s="481">
        <v>20.10651777</v>
      </c>
      <c r="AY11" s="481">
        <v>18.194351990000001</v>
      </c>
      <c r="AZ11" s="481">
        <v>18.493477560000002</v>
      </c>
      <c r="BA11" s="481">
        <v>20.145849630000001</v>
      </c>
      <c r="BB11" s="481">
        <v>16.975172059287885</v>
      </c>
      <c r="BC11" s="481">
        <v>23.782350540000003</v>
      </c>
      <c r="BD11" s="492">
        <v>18.993526210000002</v>
      </c>
      <c r="BE11" s="492">
        <v>23.133703710000006</v>
      </c>
      <c r="BF11" s="492">
        <v>20.183452389999999</v>
      </c>
      <c r="BG11" s="492">
        <v>21.70395315</v>
      </c>
      <c r="BH11" s="492">
        <v>17.828675619999999</v>
      </c>
      <c r="BI11" s="492">
        <v>11.74910918</v>
      </c>
      <c r="BJ11" s="492">
        <v>26.845946849999997</v>
      </c>
      <c r="BK11" s="492">
        <v>20.603563820000002</v>
      </c>
      <c r="BL11" s="492">
        <v>21.011435719999998</v>
      </c>
      <c r="BM11" s="492">
        <v>20.238200379999999</v>
      </c>
      <c r="BN11" s="492">
        <v>21.562691739999998</v>
      </c>
      <c r="BO11" s="492">
        <v>21.069013630000004</v>
      </c>
      <c r="BP11" s="492">
        <v>18.156025400000001</v>
      </c>
      <c r="BQ11" s="492">
        <v>19.069455469999998</v>
      </c>
      <c r="BR11" s="492">
        <v>21.105955649999999</v>
      </c>
      <c r="BS11" s="492">
        <v>18.558581619999998</v>
      </c>
      <c r="BT11" s="492">
        <v>15.543740559999998</v>
      </c>
      <c r="BU11" s="492">
        <v>19.755151340000001</v>
      </c>
      <c r="BV11" s="492">
        <v>18.48738432</v>
      </c>
      <c r="BW11" s="492">
        <v>16.73509327</v>
      </c>
    </row>
    <row r="12" spans="1:75" ht="15" x14ac:dyDescent="0.25">
      <c r="A12" s="463" t="s">
        <v>259</v>
      </c>
      <c r="B12" s="464">
        <v>64.099999999999994</v>
      </c>
      <c r="C12" s="464">
        <v>50.6</v>
      </c>
      <c r="D12" s="464">
        <v>66.400000000000006</v>
      </c>
      <c r="E12" s="464">
        <v>56.2</v>
      </c>
      <c r="F12" s="464">
        <v>55.5</v>
      </c>
      <c r="G12" s="464">
        <v>57.2</v>
      </c>
      <c r="H12" s="464">
        <v>47.1</v>
      </c>
      <c r="I12" s="464">
        <v>73</v>
      </c>
      <c r="J12" s="464">
        <v>45.5</v>
      </c>
      <c r="K12" s="464">
        <v>62.5</v>
      </c>
      <c r="L12" s="464">
        <v>62.7</v>
      </c>
      <c r="M12" s="464">
        <v>82.6</v>
      </c>
      <c r="N12" s="466">
        <v>74.2</v>
      </c>
      <c r="O12" s="464">
        <v>73.3</v>
      </c>
      <c r="P12" s="464">
        <v>76.5</v>
      </c>
      <c r="Q12" s="464">
        <v>61.2</v>
      </c>
      <c r="R12" s="464">
        <v>54.1</v>
      </c>
      <c r="S12" s="464">
        <v>46.5</v>
      </c>
      <c r="T12" s="464">
        <v>40</v>
      </c>
      <c r="U12" s="464">
        <v>38.9</v>
      </c>
      <c r="V12" s="464">
        <v>99.3</v>
      </c>
      <c r="W12" s="462">
        <v>119.7</v>
      </c>
      <c r="X12" s="462">
        <v>116.1</v>
      </c>
      <c r="Y12" s="475">
        <v>42</v>
      </c>
      <c r="Z12" s="475">
        <v>56.2</v>
      </c>
      <c r="AA12" s="475">
        <v>17.5</v>
      </c>
      <c r="AB12" s="475">
        <v>15.7</v>
      </c>
      <c r="AC12" s="482">
        <v>9.9</v>
      </c>
      <c r="AD12" s="482">
        <v>23.3</v>
      </c>
      <c r="AE12" s="482">
        <v>28.4</v>
      </c>
      <c r="AF12" s="482">
        <v>21</v>
      </c>
      <c r="AG12" s="482">
        <v>19.3</v>
      </c>
      <c r="AH12" s="482">
        <v>20.5</v>
      </c>
      <c r="AI12" s="482">
        <v>24.3</v>
      </c>
      <c r="AJ12" s="482">
        <v>16.8</v>
      </c>
      <c r="AK12" s="482">
        <v>15.1</v>
      </c>
      <c r="AL12" s="482">
        <v>13.4</v>
      </c>
      <c r="AM12" s="482">
        <v>10.199999999999999</v>
      </c>
      <c r="AN12" s="482">
        <v>14.1</v>
      </c>
      <c r="AO12" s="482">
        <v>8</v>
      </c>
      <c r="AP12" s="482">
        <v>12.6</v>
      </c>
      <c r="AQ12" s="482">
        <v>12.7</v>
      </c>
      <c r="AR12" s="482">
        <v>7</v>
      </c>
      <c r="AS12" s="482">
        <v>7.8</v>
      </c>
      <c r="AT12" s="482">
        <v>8.5</v>
      </c>
      <c r="AU12" s="482">
        <v>14.6</v>
      </c>
      <c r="AV12" s="482">
        <v>13.5</v>
      </c>
      <c r="AW12" s="482">
        <v>12.8</v>
      </c>
      <c r="AX12" s="482">
        <v>13.8</v>
      </c>
      <c r="AY12" s="482">
        <v>11.6</v>
      </c>
      <c r="AZ12" s="482">
        <v>11.3</v>
      </c>
      <c r="BA12" s="482">
        <v>13.1</v>
      </c>
      <c r="BB12" s="482">
        <v>9.3000000000000007</v>
      </c>
      <c r="BC12" s="482">
        <v>9.8000000000000007</v>
      </c>
      <c r="BD12" s="482">
        <v>7.5</v>
      </c>
      <c r="BE12" s="482">
        <v>5.5</v>
      </c>
      <c r="BF12" s="482">
        <v>6.5</v>
      </c>
      <c r="BG12" s="482">
        <v>11.3</v>
      </c>
      <c r="BH12" s="482">
        <v>8.9</v>
      </c>
      <c r="BI12" s="482">
        <v>8</v>
      </c>
      <c r="BJ12" s="482">
        <v>9.3000000000000007</v>
      </c>
      <c r="BK12" s="482">
        <v>7.6</v>
      </c>
      <c r="BL12" s="482">
        <v>8</v>
      </c>
      <c r="BM12" s="482">
        <v>9.6999999999999993</v>
      </c>
      <c r="BN12" s="482">
        <v>8.1999999999999993</v>
      </c>
      <c r="BO12" s="482">
        <v>9.1</v>
      </c>
      <c r="BP12" s="482">
        <v>6</v>
      </c>
      <c r="BQ12" s="482">
        <v>6.2</v>
      </c>
      <c r="BR12" s="482">
        <v>4.8</v>
      </c>
      <c r="BS12" s="482">
        <v>9.4</v>
      </c>
      <c r="BT12" s="482">
        <v>10.9</v>
      </c>
      <c r="BU12" s="482">
        <v>9.5</v>
      </c>
      <c r="BV12" s="482">
        <v>8.734572</v>
      </c>
      <c r="BW12" s="482">
        <v>5.8349640000000003</v>
      </c>
    </row>
    <row r="13" spans="1:75" ht="15" x14ac:dyDescent="0.25">
      <c r="A13" s="454" t="s">
        <v>258</v>
      </c>
      <c r="B13" s="459">
        <v>174.1</v>
      </c>
      <c r="C13" s="459">
        <v>29.5</v>
      </c>
      <c r="D13" s="459">
        <v>210.5</v>
      </c>
      <c r="E13" s="459">
        <v>262.2</v>
      </c>
      <c r="F13" s="459">
        <v>279.5</v>
      </c>
      <c r="G13" s="459">
        <v>250.4</v>
      </c>
      <c r="H13" s="459">
        <v>224.1</v>
      </c>
      <c r="I13" s="459">
        <v>227.6</v>
      </c>
      <c r="J13" s="459">
        <v>118.7</v>
      </c>
      <c r="K13" s="459">
        <v>151.69999999999999</v>
      </c>
      <c r="L13" s="459">
        <v>328.9</v>
      </c>
      <c r="M13" s="459">
        <v>311.7</v>
      </c>
      <c r="N13" s="460">
        <v>327.9</v>
      </c>
      <c r="O13" s="459">
        <v>339.6</v>
      </c>
      <c r="P13" s="459">
        <v>378</v>
      </c>
      <c r="Q13" s="459">
        <v>335.1</v>
      </c>
      <c r="R13" s="459">
        <v>301.8</v>
      </c>
      <c r="S13" s="459">
        <v>261.39999999999998</v>
      </c>
      <c r="T13" s="459">
        <v>268.39999999999998</v>
      </c>
      <c r="U13" s="459">
        <v>204.4</v>
      </c>
      <c r="V13" s="459">
        <v>273.7</v>
      </c>
      <c r="W13" s="451">
        <v>305.60000000000002</v>
      </c>
      <c r="X13" s="450">
        <v>261.60000000000002</v>
      </c>
      <c r="Y13" s="450">
        <v>258.7</v>
      </c>
      <c r="Z13" s="450">
        <v>200.4</v>
      </c>
      <c r="AA13" s="450">
        <v>172.6</v>
      </c>
      <c r="AB13" s="450">
        <v>152.5</v>
      </c>
      <c r="AC13" s="482">
        <v>227.3</v>
      </c>
      <c r="AD13" s="482">
        <v>282.89999999999998</v>
      </c>
      <c r="AE13" s="482">
        <v>281.10000000000002</v>
      </c>
      <c r="AF13" s="482">
        <v>263</v>
      </c>
      <c r="AG13" s="482">
        <v>231</v>
      </c>
      <c r="AH13" s="482">
        <v>181.3</v>
      </c>
      <c r="AI13" s="482">
        <v>250.4</v>
      </c>
      <c r="AJ13" s="482">
        <v>212.1</v>
      </c>
      <c r="AK13" s="482">
        <v>194.5</v>
      </c>
      <c r="AL13" s="482">
        <v>132</v>
      </c>
      <c r="AM13" s="482">
        <v>190.4</v>
      </c>
      <c r="AN13" s="482">
        <v>296.2</v>
      </c>
      <c r="AO13" s="482">
        <v>181.3</v>
      </c>
      <c r="AP13" s="482">
        <v>298.10000000000002</v>
      </c>
      <c r="AQ13" s="482">
        <v>252.8</v>
      </c>
      <c r="AR13" s="482">
        <v>223.5</v>
      </c>
      <c r="AS13" s="482">
        <v>237.3</v>
      </c>
      <c r="AT13" s="482">
        <v>226.9</v>
      </c>
      <c r="AU13" s="482">
        <v>334.3</v>
      </c>
      <c r="AV13" s="482">
        <v>256.39999999999998</v>
      </c>
      <c r="AW13" s="482">
        <v>263.39999999999998</v>
      </c>
      <c r="AX13" s="482">
        <v>290.3</v>
      </c>
      <c r="AY13" s="482">
        <v>245.9</v>
      </c>
      <c r="AZ13" s="482">
        <v>248.1</v>
      </c>
      <c r="BA13" s="482">
        <v>341.2</v>
      </c>
      <c r="BB13" s="482">
        <v>427.1</v>
      </c>
      <c r="BC13" s="482">
        <v>465.1</v>
      </c>
      <c r="BD13" s="482">
        <v>327.8</v>
      </c>
      <c r="BE13" s="482">
        <v>374.5</v>
      </c>
      <c r="BF13" s="482">
        <v>352</v>
      </c>
      <c r="BG13" s="482">
        <v>409.6</v>
      </c>
      <c r="BH13" s="482">
        <v>320.60000000000002</v>
      </c>
      <c r="BI13" s="482">
        <v>303.5</v>
      </c>
      <c r="BJ13" s="482">
        <v>408.5</v>
      </c>
      <c r="BK13" s="482">
        <v>356.5</v>
      </c>
      <c r="BL13" s="482">
        <v>403.8</v>
      </c>
      <c r="BM13" s="482">
        <v>417.6</v>
      </c>
      <c r="BN13" s="482">
        <v>436.8</v>
      </c>
      <c r="BO13" s="482">
        <v>448.5</v>
      </c>
      <c r="BP13" s="482">
        <v>412</v>
      </c>
      <c r="BQ13" s="482">
        <v>360</v>
      </c>
      <c r="BR13" s="482">
        <v>333.2</v>
      </c>
      <c r="BS13" s="482">
        <v>373.3</v>
      </c>
      <c r="BT13" s="482">
        <v>361.3</v>
      </c>
      <c r="BU13" s="482">
        <v>332.6</v>
      </c>
      <c r="BV13" s="482">
        <v>356.37004317999993</v>
      </c>
      <c r="BW13" s="482">
        <v>211.44687382000004</v>
      </c>
    </row>
    <row r="14" spans="1:75" ht="15" x14ac:dyDescent="0.25">
      <c r="A14" s="461"/>
      <c r="B14" s="464"/>
      <c r="C14" s="464"/>
      <c r="D14" s="464"/>
      <c r="E14" s="464"/>
      <c r="F14" s="464"/>
      <c r="G14" s="464"/>
      <c r="H14" s="464"/>
      <c r="I14" s="464"/>
      <c r="J14" s="464"/>
      <c r="K14" s="464"/>
      <c r="L14" s="464"/>
      <c r="M14" s="465"/>
      <c r="N14" s="460"/>
      <c r="O14" s="459"/>
      <c r="P14" s="459"/>
      <c r="Q14" s="459"/>
      <c r="R14" s="459"/>
      <c r="S14" s="459"/>
      <c r="T14" s="459"/>
      <c r="U14" s="459"/>
      <c r="V14" s="459"/>
      <c r="W14" s="478"/>
      <c r="X14" s="477"/>
      <c r="Y14" s="477"/>
      <c r="Z14" s="477"/>
      <c r="AA14" s="477"/>
      <c r="AB14" s="477"/>
      <c r="AC14" s="483"/>
      <c r="AD14" s="483"/>
      <c r="AE14" s="483"/>
      <c r="AF14" s="483"/>
      <c r="AG14" s="483"/>
      <c r="AH14" s="483"/>
      <c r="AI14" s="483"/>
      <c r="AJ14" s="483"/>
      <c r="AK14" s="483"/>
      <c r="AL14" s="483"/>
      <c r="AM14" s="483"/>
      <c r="AN14" s="483"/>
      <c r="AO14" s="483"/>
      <c r="AP14" s="483"/>
      <c r="AQ14" s="483"/>
      <c r="AR14" s="483"/>
      <c r="AS14" s="483"/>
      <c r="AT14" s="483"/>
      <c r="AU14" s="483"/>
      <c r="AV14" s="483"/>
      <c r="AW14" s="483"/>
      <c r="AX14" s="483"/>
      <c r="AY14" s="483"/>
      <c r="AZ14" s="483"/>
      <c r="BA14" s="483"/>
      <c r="BB14" s="483"/>
      <c r="BC14" s="483"/>
      <c r="BD14" s="483"/>
      <c r="BE14" s="483"/>
      <c r="BF14" s="483"/>
      <c r="BG14" s="483"/>
      <c r="BH14" s="483"/>
      <c r="BI14" s="483"/>
      <c r="BJ14" s="483"/>
      <c r="BK14" s="483"/>
      <c r="BL14" s="483"/>
      <c r="BM14" s="483"/>
      <c r="BN14" s="483"/>
      <c r="BO14" s="483"/>
      <c r="BP14" s="483"/>
      <c r="BQ14" s="483"/>
      <c r="BR14" s="483"/>
      <c r="BS14" s="483"/>
      <c r="BT14" s="483"/>
      <c r="BU14" s="483"/>
      <c r="BV14" s="483"/>
      <c r="BW14" s="483"/>
    </row>
    <row r="15" spans="1:75" ht="15" x14ac:dyDescent="0.25">
      <c r="A15" s="467"/>
      <c r="B15" s="464"/>
      <c r="C15" s="464"/>
      <c r="D15" s="464"/>
      <c r="E15" s="464"/>
      <c r="F15" s="464"/>
      <c r="G15" s="464"/>
      <c r="H15" s="464"/>
      <c r="I15" s="464"/>
      <c r="J15" s="464"/>
      <c r="K15" s="464"/>
      <c r="L15" s="464"/>
      <c r="M15" s="465"/>
      <c r="N15" s="460"/>
      <c r="O15" s="459"/>
      <c r="P15" s="459"/>
      <c r="Q15" s="459"/>
      <c r="R15" s="459"/>
      <c r="S15" s="459"/>
      <c r="T15" s="459"/>
      <c r="U15" s="459"/>
      <c r="V15" s="459"/>
      <c r="W15" s="451"/>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0"/>
      <c r="AX15" s="450"/>
      <c r="AY15" s="450"/>
      <c r="AZ15" s="450"/>
      <c r="BA15" s="450"/>
      <c r="BB15" s="450"/>
      <c r="BC15" s="450"/>
      <c r="BD15" s="450"/>
      <c r="BE15" s="450"/>
      <c r="BF15" s="450"/>
      <c r="BG15" s="450"/>
      <c r="BH15" s="450"/>
      <c r="BI15" s="450"/>
      <c r="BJ15" s="450"/>
      <c r="BK15" s="450"/>
      <c r="BL15" s="450"/>
      <c r="BM15" s="450"/>
      <c r="BN15" s="450"/>
      <c r="BO15" s="450"/>
      <c r="BP15" s="450"/>
      <c r="BQ15" s="450"/>
      <c r="BR15" s="450"/>
      <c r="BS15" s="450"/>
      <c r="BT15" s="450"/>
      <c r="BU15" s="450"/>
      <c r="BV15" s="477"/>
      <c r="BW15" s="477"/>
    </row>
    <row r="16" spans="1:75" x14ac:dyDescent="0.2">
      <c r="A16" s="470" t="s">
        <v>265</v>
      </c>
      <c r="B16" s="471">
        <f>SUM(B3:B11)+B12+B13</f>
        <v>628.13131182380982</v>
      </c>
      <c r="C16" s="471">
        <f t="shared" ref="C16:Z16" si="0">SUM(C3:C11)+C12+C13</f>
        <v>458.73439909864499</v>
      </c>
      <c r="D16" s="471">
        <f t="shared" si="0"/>
        <v>706.89166760101546</v>
      </c>
      <c r="E16" s="471">
        <f t="shared" si="0"/>
        <v>928.63408383310798</v>
      </c>
      <c r="F16" s="471">
        <f t="shared" si="0"/>
        <v>939.10997850827516</v>
      </c>
      <c r="G16" s="471">
        <f t="shared" si="0"/>
        <v>943.10665287476206</v>
      </c>
      <c r="H16" s="471">
        <f t="shared" si="0"/>
        <v>903.96604176641256</v>
      </c>
      <c r="I16" s="471">
        <f t="shared" si="0"/>
        <v>879.23955997845258</v>
      </c>
      <c r="J16" s="471">
        <f t="shared" si="0"/>
        <v>713.39720844278759</v>
      </c>
      <c r="K16" s="471">
        <f t="shared" si="0"/>
        <v>742.59017785771266</v>
      </c>
      <c r="L16" s="471">
        <f t="shared" si="0"/>
        <v>1119.2723857881078</v>
      </c>
      <c r="M16" s="471">
        <f t="shared" si="0"/>
        <v>999.6002361864405</v>
      </c>
      <c r="N16" s="472">
        <f t="shared" si="0"/>
        <v>1070.5761243817831</v>
      </c>
      <c r="O16" s="471">
        <f t="shared" si="0"/>
        <v>1063.6579657217317</v>
      </c>
      <c r="P16" s="471">
        <f t="shared" si="0"/>
        <v>1120.0782091175474</v>
      </c>
      <c r="Q16" s="471">
        <f t="shared" si="0"/>
        <v>1090.7053869585088</v>
      </c>
      <c r="R16" s="471">
        <f t="shared" si="0"/>
        <v>1060.7704769129871</v>
      </c>
      <c r="S16" s="471">
        <f t="shared" si="0"/>
        <v>995.35862779312902</v>
      </c>
      <c r="T16" s="471">
        <f t="shared" si="0"/>
        <v>981.99177176703574</v>
      </c>
      <c r="U16" s="471">
        <f t="shared" si="0"/>
        <v>878.622524625952</v>
      </c>
      <c r="V16" s="471">
        <f t="shared" si="0"/>
        <v>967.67346412590859</v>
      </c>
      <c r="W16" s="471">
        <f t="shared" si="0"/>
        <v>1062.3259656516718</v>
      </c>
      <c r="X16" s="471">
        <f t="shared" si="0"/>
        <v>1076.1484900212977</v>
      </c>
      <c r="Y16" s="471">
        <f t="shared" si="0"/>
        <v>965.45099679624514</v>
      </c>
      <c r="Z16" s="479">
        <f t="shared" si="0"/>
        <v>927.67394699833199</v>
      </c>
      <c r="AA16" s="479">
        <f>SUM(AA3:AA11)+AA12+AA13</f>
        <v>850.10225635776533</v>
      </c>
      <c r="AB16" s="479">
        <f>SUM(AB3:AB11)+AB12+AB13</f>
        <v>770.01039277677637</v>
      </c>
      <c r="AC16" s="479">
        <f>SUM(AC3:AC11)+AC12+AC13</f>
        <v>965.71128261643912</v>
      </c>
      <c r="AD16" s="479">
        <f>SUM(AD3:AD11)+AD12+AD13</f>
        <v>1144.5064270468492</v>
      </c>
      <c r="AE16" s="479">
        <f>SUM(AE3:AE11)+AE12+AE13</f>
        <v>1208.8226453172167</v>
      </c>
      <c r="AF16" s="479">
        <f t="shared" ref="AF16:AJ16" si="1">SUM(AF3:AF11)+AF12+AF13</f>
        <v>1096.1341209446209</v>
      </c>
      <c r="AG16" s="479">
        <f t="shared" si="1"/>
        <v>1029.3897482920561</v>
      </c>
      <c r="AH16" s="479">
        <f t="shared" si="1"/>
        <v>821.11643685182116</v>
      </c>
      <c r="AI16" s="479">
        <f t="shared" si="1"/>
        <v>1099.1972724920599</v>
      </c>
      <c r="AJ16" s="479">
        <f t="shared" si="1"/>
        <v>914.87077690689125</v>
      </c>
      <c r="AK16" s="479">
        <v>1023.3</v>
      </c>
      <c r="AL16" s="479">
        <v>786.8</v>
      </c>
      <c r="AM16" s="479">
        <v>796.3</v>
      </c>
      <c r="AN16" s="479">
        <v>962.8</v>
      </c>
      <c r="AO16" s="479">
        <v>937.8</v>
      </c>
      <c r="AP16" s="479">
        <v>1001.1</v>
      </c>
      <c r="AQ16" s="479">
        <v>1151</v>
      </c>
      <c r="AR16" s="479">
        <v>911.8</v>
      </c>
      <c r="AS16" s="479">
        <v>876.4</v>
      </c>
      <c r="AT16" s="479">
        <v>847.3</v>
      </c>
      <c r="AU16" s="479">
        <v>1135.3</v>
      </c>
      <c r="AV16" s="479">
        <v>936.4</v>
      </c>
      <c r="AW16" s="479">
        <v>853.2</v>
      </c>
      <c r="AX16" s="479">
        <v>956.2</v>
      </c>
      <c r="AY16" s="479">
        <v>908.1</v>
      </c>
      <c r="AZ16" s="479">
        <v>857.6</v>
      </c>
      <c r="BA16" s="479">
        <v>1118.7</v>
      </c>
      <c r="BB16" s="479">
        <v>1133.3</v>
      </c>
      <c r="BC16" s="479">
        <v>1261.3</v>
      </c>
      <c r="BD16" s="479">
        <v>1149.5999999999999</v>
      </c>
      <c r="BE16" s="479">
        <v>1327.7</v>
      </c>
      <c r="BF16" s="479">
        <v>1082.9000000000001</v>
      </c>
      <c r="BG16" s="479">
        <v>1209.5999999999999</v>
      </c>
      <c r="BH16" s="479">
        <v>979</v>
      </c>
      <c r="BI16" s="479">
        <v>1000.2</v>
      </c>
      <c r="BJ16" s="479">
        <v>1107.8</v>
      </c>
      <c r="BK16" s="479">
        <v>1136.5</v>
      </c>
      <c r="BL16" s="479">
        <v>1168.4000000000001</v>
      </c>
      <c r="BM16" s="479">
        <v>1282.7</v>
      </c>
      <c r="BN16" s="479">
        <v>1293.5999999999999</v>
      </c>
      <c r="BO16" s="479">
        <v>1282.2</v>
      </c>
      <c r="BP16" s="479">
        <v>1217.7</v>
      </c>
      <c r="BQ16" s="479">
        <v>1115.5</v>
      </c>
      <c r="BR16" s="479">
        <v>1049.5</v>
      </c>
      <c r="BS16" s="479">
        <v>1129.4000000000001</v>
      </c>
      <c r="BT16" s="479">
        <v>1065.8</v>
      </c>
      <c r="BU16" s="479">
        <v>1110</v>
      </c>
      <c r="BV16" s="493">
        <v>1141.4000000000001</v>
      </c>
      <c r="BW16" s="493">
        <v>755.5574098087036</v>
      </c>
    </row>
    <row r="17" spans="1:75" ht="15" x14ac:dyDescent="0.25">
      <c r="A17" s="49" t="s">
        <v>263</v>
      </c>
      <c r="B17" s="469"/>
      <c r="N17" s="468"/>
      <c r="Y17" s="476"/>
      <c r="Z17" s="476"/>
      <c r="AA17" s="476"/>
      <c r="AH17" s="485"/>
      <c r="BV17" s="492">
        <v>-258.10500000000002</v>
      </c>
      <c r="BW17" s="492">
        <v>-258.10500000000002</v>
      </c>
    </row>
    <row r="18" spans="1:75" s="45" customFormat="1" ht="13.5" thickBot="1" x14ac:dyDescent="0.25">
      <c r="A18" s="486" t="s">
        <v>266</v>
      </c>
      <c r="B18" s="487"/>
      <c r="C18" s="487"/>
      <c r="D18" s="487"/>
      <c r="E18" s="487"/>
      <c r="F18" s="487"/>
      <c r="G18" s="487"/>
      <c r="H18" s="487"/>
      <c r="I18" s="487"/>
      <c r="J18" s="487"/>
      <c r="K18" s="487"/>
      <c r="L18" s="487"/>
      <c r="M18" s="487"/>
      <c r="N18" s="488"/>
      <c r="O18" s="487"/>
      <c r="P18" s="487"/>
      <c r="Q18" s="487"/>
      <c r="R18" s="487"/>
      <c r="S18" s="487"/>
      <c r="T18" s="487"/>
      <c r="U18" s="487"/>
      <c r="V18" s="487"/>
      <c r="W18" s="487"/>
      <c r="X18" s="487"/>
      <c r="Y18" s="487"/>
      <c r="Z18" s="487"/>
      <c r="AA18" s="487"/>
      <c r="BV18" s="489">
        <v>883.29500000000007</v>
      </c>
      <c r="BW18" s="489">
        <v>497.45240980870358</v>
      </c>
    </row>
    <row r="19" spans="1:75" ht="13.5" thickTop="1" x14ac:dyDescent="0.2">
      <c r="N19" s="449"/>
      <c r="O19" s="449"/>
      <c r="P19" s="449"/>
      <c r="Q19" s="449"/>
      <c r="R19" s="449"/>
      <c r="S19" s="449"/>
      <c r="T19" s="449"/>
      <c r="U19" s="449"/>
      <c r="V19" s="449"/>
    </row>
    <row r="20" spans="1:75" x14ac:dyDescent="0.2">
      <c r="N20" s="449"/>
      <c r="O20" s="449"/>
      <c r="P20" s="449"/>
      <c r="Q20" s="449"/>
      <c r="R20" s="449"/>
      <c r="S20" s="449"/>
      <c r="T20" s="449"/>
      <c r="U20" s="449"/>
      <c r="V20" s="449"/>
    </row>
    <row r="21" spans="1:75" x14ac:dyDescent="0.2">
      <c r="N21" s="449"/>
      <c r="O21" s="449"/>
      <c r="P21" s="449"/>
      <c r="Q21" s="449"/>
      <c r="R21" s="449"/>
      <c r="S21" s="449"/>
      <c r="T21" s="449"/>
      <c r="U21" s="449"/>
      <c r="V21" s="449"/>
    </row>
    <row r="22" spans="1:75" x14ac:dyDescent="0.2">
      <c r="N22" s="449"/>
      <c r="O22" s="449"/>
      <c r="P22" s="449"/>
      <c r="Q22" s="449"/>
      <c r="R22" s="449"/>
      <c r="S22" s="449"/>
      <c r="T22" s="449"/>
      <c r="U22" s="449"/>
      <c r="V22" s="449"/>
    </row>
    <row r="23" spans="1:75" x14ac:dyDescent="0.2">
      <c r="N23" s="449"/>
      <c r="O23" s="449"/>
      <c r="P23" s="449"/>
      <c r="Q23" s="449"/>
      <c r="R23" s="449"/>
      <c r="S23" s="449"/>
      <c r="T23" s="449"/>
      <c r="U23" s="449"/>
      <c r="V23" s="449"/>
    </row>
    <row r="24" spans="1:75" x14ac:dyDescent="0.2">
      <c r="N24" s="449"/>
      <c r="O24" s="449"/>
      <c r="P24" s="449"/>
      <c r="Q24" s="449"/>
      <c r="R24" s="449"/>
      <c r="S24" s="449"/>
      <c r="T24" s="449"/>
      <c r="U24" s="449"/>
      <c r="V24" s="449"/>
    </row>
    <row r="25" spans="1:75" x14ac:dyDescent="0.2">
      <c r="N25" s="449"/>
      <c r="O25" s="449"/>
      <c r="P25" s="449"/>
      <c r="Q25" s="449"/>
      <c r="R25" s="449"/>
      <c r="S25" s="449"/>
      <c r="T25" s="449"/>
      <c r="U25" s="449"/>
      <c r="V25" s="449"/>
    </row>
    <row r="26" spans="1:75" x14ac:dyDescent="0.2">
      <c r="N26" s="449"/>
      <c r="O26" s="449"/>
      <c r="P26" s="449"/>
      <c r="Q26" s="449"/>
      <c r="R26" s="449"/>
      <c r="S26" s="449"/>
      <c r="T26" s="449"/>
      <c r="U26" s="449"/>
      <c r="V26" s="449"/>
    </row>
    <row r="27" spans="1:75" ht="15" x14ac:dyDescent="0.25">
      <c r="N27" s="47"/>
      <c r="O27" s="47"/>
      <c r="P27" s="47"/>
      <c r="Q27" s="47"/>
      <c r="R27" s="47"/>
      <c r="S27" s="47"/>
      <c r="T27" s="47"/>
      <c r="U27" s="47"/>
    </row>
    <row r="28" spans="1:75" ht="15" x14ac:dyDescent="0.25">
      <c r="N28" s="47"/>
      <c r="O28" s="47"/>
      <c r="P28" s="47"/>
      <c r="Q28" s="47"/>
      <c r="R28" s="47"/>
      <c r="S28" s="47"/>
      <c r="T28" s="47"/>
      <c r="U28" s="47"/>
    </row>
    <row r="29" spans="1:75" ht="15" x14ac:dyDescent="0.25">
      <c r="N29" s="47"/>
      <c r="O29" s="47"/>
      <c r="P29" s="47"/>
      <c r="Q29" s="47"/>
      <c r="R29" s="47"/>
      <c r="S29" s="47"/>
      <c r="T29" s="47"/>
      <c r="U29" s="47"/>
    </row>
    <row r="30" spans="1:75" ht="15" x14ac:dyDescent="0.25">
      <c r="N30" s="47"/>
      <c r="O30" s="47"/>
      <c r="P30" s="47"/>
      <c r="Q30" s="47"/>
      <c r="R30" s="47"/>
      <c r="S30" s="47"/>
      <c r="T30" s="47"/>
      <c r="U30" s="47"/>
    </row>
    <row r="31" spans="1:75" ht="15" x14ac:dyDescent="0.25">
      <c r="N31" s="47"/>
      <c r="O31" s="47"/>
      <c r="P31" s="47"/>
      <c r="Q31" s="47"/>
      <c r="R31" s="47"/>
      <c r="S31" s="47"/>
      <c r="T31" s="47"/>
      <c r="U31" s="47"/>
    </row>
    <row r="32" spans="1:75" ht="15" x14ac:dyDescent="0.25">
      <c r="N32" s="47"/>
      <c r="O32" s="47"/>
      <c r="P32" s="47"/>
      <c r="Q32" s="47"/>
      <c r="R32" s="47"/>
      <c r="S32" s="47"/>
      <c r="T32" s="47"/>
      <c r="U32" s="47"/>
    </row>
    <row r="33" spans="14:21" x14ac:dyDescent="0.2">
      <c r="N33" s="455"/>
      <c r="O33" s="455"/>
      <c r="P33" s="455"/>
      <c r="Q33" s="455"/>
      <c r="R33" s="455"/>
      <c r="S33" s="455"/>
      <c r="T33" s="455"/>
      <c r="U33" s="455"/>
    </row>
    <row r="34" spans="14:21" x14ac:dyDescent="0.2">
      <c r="N34" s="455"/>
      <c r="O34" s="455"/>
      <c r="P34" s="455"/>
      <c r="Q34" s="455"/>
      <c r="R34" s="455"/>
      <c r="S34" s="455"/>
      <c r="T34" s="455"/>
      <c r="U34" s="45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GAM Components</vt:lpstr>
      <vt:lpstr>OPA Components of GAM </vt:lpstr>
      <vt:lpstr>Time Series GAM Components</vt:lpstr>
      <vt:lpstr>HOEPvsGAM Example</vt:lpstr>
      <vt:lpstr>GAM Components Pie charts</vt:lpstr>
      <vt:lpstr>OPA Components Pie chart</vt:lpstr>
      <vt:lpstr>Components Breakdown</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 by Components</dc:title>
  <dc:creator>IESO</dc:creator>
  <cp:lastModifiedBy>Chantelle Valerio</cp:lastModifiedBy>
  <cp:lastPrinted>2015-07-16T14:01:03Z</cp:lastPrinted>
  <dcterms:created xsi:type="dcterms:W3CDTF">2013-12-24T14:21:05Z</dcterms:created>
  <dcterms:modified xsi:type="dcterms:W3CDTF">2021-03-26T19:26:04Z</dcterms:modified>
</cp:coreProperties>
</file>